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anjoseca.sharepoint.com/sites/PBCE_Mod_Planning_CitywidePlanning/Shared Documents/Housing Team/Housing Element - 6th Cycle/DRAFT DOCUMENT/8 - PREP FOR 3RD SUBMISSION/"/>
    </mc:Choice>
  </mc:AlternateContent>
  <xr:revisionPtr revIDLastSave="3" documentId="8_{09707F9B-BC7D-403D-8AD5-7BDD6A1E570B}" xr6:coauthVersionLast="47" xr6:coauthVersionMax="47" xr10:uidLastSave="{30AA9F1D-B6E4-44E1-9C25-7B37581AA26A}"/>
  <bookViews>
    <workbookView xWindow="-108" yWindow="-108" windowWidth="23256" windowHeight="12576" xr2:uid="{00000000-000D-0000-FFFF-FFFF00000000}"/>
  </bookViews>
  <sheets>
    <sheet name="TABLE A" sheetId="2" r:id="rId1"/>
    <sheet name="TABLE B" sheetId="6" r:id="rId2"/>
    <sheet name="TABLE C" sheetId="7" r:id="rId3"/>
  </sheets>
  <definedNames>
    <definedName name="_xlnm._FilterDatabase" localSheetId="0" hidden="1">'TABLE A'!$A$1:$V$485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6" l="1"/>
  <c r="D33" i="6"/>
  <c r="D32" i="6"/>
  <c r="D31" i="6"/>
  <c r="D30" i="6"/>
  <c r="D29" i="6"/>
  <c r="D28" i="6"/>
  <c r="D88" i="2"/>
  <c r="D26" i="6" l="1"/>
  <c r="D25" i="6"/>
  <c r="D112" i="2" l="1"/>
  <c r="D199" i="2"/>
  <c r="D113" i="2"/>
  <c r="D485" i="2" l="1"/>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1" i="2"/>
  <c r="D110" i="2"/>
  <c r="D109" i="2"/>
  <c r="D108" i="2"/>
  <c r="D107" i="2"/>
  <c r="D106" i="2"/>
  <c r="D105" i="2"/>
  <c r="D104" i="2"/>
  <c r="D103" i="2"/>
  <c r="D102" i="2"/>
  <c r="D101" i="2"/>
  <c r="D100" i="2"/>
  <c r="D99" i="2"/>
  <c r="D98" i="2"/>
  <c r="D97" i="2"/>
  <c r="D96" i="2"/>
  <c r="D95" i="2"/>
  <c r="D94" i="2"/>
  <c r="D93" i="2"/>
  <c r="D92" i="2"/>
  <c r="D91" i="2"/>
  <c r="D90" i="2"/>
  <c r="D89"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alcChain>
</file>

<file path=xl/sharedStrings.xml><?xml version="1.0" encoding="utf-8"?>
<sst xmlns="http://schemas.openxmlformats.org/spreadsheetml/2006/main" count="5686" uniqueCount="941">
  <si>
    <t>Address</t>
  </si>
  <si>
    <t>Zip Code</t>
  </si>
  <si>
    <t>General Plan</t>
  </si>
  <si>
    <t>Zoning</t>
  </si>
  <si>
    <t>11815 Redmond Ave, San Jose, CA, 95120</t>
  </si>
  <si>
    <t>Neighborhood/Community Commercial</t>
  </si>
  <si>
    <t>A(PD) - Agriculture</t>
  </si>
  <si>
    <t>Low Income</t>
  </si>
  <si>
    <t>821 The Alameda, San Jose, CA, 95126</t>
  </si>
  <si>
    <t>Urban Village</t>
  </si>
  <si>
    <t>Retail Uses</t>
  </si>
  <si>
    <t>1746 The Alameda, San Jose, CA, 95126</t>
  </si>
  <si>
    <t>Office Uses</t>
  </si>
  <si>
    <t>2347 N 1st St, San Jose, CA, 95131</t>
  </si>
  <si>
    <t>Transit Employment Center</t>
  </si>
  <si>
    <t>Mixed Income</t>
  </si>
  <si>
    <t>1488 N 1st St, San Jose, CA, 95112</t>
  </si>
  <si>
    <t>1550 N 1st St, San Jose, CA, 95112</t>
  </si>
  <si>
    <t>UV</t>
  </si>
  <si>
    <t>502 S 2nd St, San Jose, CA, 95112</t>
  </si>
  <si>
    <t>Downtown</t>
  </si>
  <si>
    <t>Moderate Income</t>
  </si>
  <si>
    <t>3680 Stevens Creek Blvd, San Jose, CA, 95117</t>
  </si>
  <si>
    <t>1490 N 1st St, San Jose, CA, 95112</t>
  </si>
  <si>
    <t>2102 McKee Rd, San Jose, CA, 95116</t>
  </si>
  <si>
    <t>1190 S Bascom Ave, San Jose, CA, 95128</t>
  </si>
  <si>
    <t>Above Moderate Income</t>
  </si>
  <si>
    <t>1210 S Bascom Ave, San Jose, CA, 95128</t>
  </si>
  <si>
    <t>4880 Stevens Creek Blvd, San Jose, CA, 95129</t>
  </si>
  <si>
    <t>Mixed Use Commercial</t>
  </si>
  <si>
    <t>1175 Saratoga Ave, San Jose, CA, 95129</t>
  </si>
  <si>
    <t>1900 Camden Ave Unit 101, San Jose, CA, 95124</t>
  </si>
  <si>
    <t>650 Minnesota Ave, San Jose, CA, 95125</t>
  </si>
  <si>
    <t>Mixed Use Neighborhood</t>
  </si>
  <si>
    <t>MUN</t>
  </si>
  <si>
    <t>1998 Alum Rock Ave, San Jose, CA, 95116</t>
  </si>
  <si>
    <t>1915 W San Carlos St, San Jose, CA, 95128</t>
  </si>
  <si>
    <t>MUC</t>
  </si>
  <si>
    <t>3147 Senter Rd, San Jose, CA, 95111</t>
  </si>
  <si>
    <t>2018 Berryessa Rd, San Jose, CA, 95133</t>
  </si>
  <si>
    <t>2010 Berryessa Rd, San Jose, CA, 95133</t>
  </si>
  <si>
    <t>2002 Berryessa Rd, San Jose, CA, 95133</t>
  </si>
  <si>
    <t>14656 Camden Ave, San Jose, CA, 95124</t>
  </si>
  <si>
    <t>150 Terraine St, San Jose, CA, 95110</t>
  </si>
  <si>
    <t>2 N Jackson Ave, San Jose, CA, 95116</t>
  </si>
  <si>
    <t>160 E Tasman Dr, San Jose, CA, 95134</t>
  </si>
  <si>
    <t>Industrial Park</t>
  </si>
  <si>
    <t>Research &amp; Development Branches of Manufacturing Firms</t>
  </si>
  <si>
    <t>938 The Alameda, San Jose, CA, 95126</t>
  </si>
  <si>
    <t>1547 Almaden Expy, San Jose, CA, 95125</t>
  </si>
  <si>
    <t>Urban Residential</t>
  </si>
  <si>
    <t>General Industrial Non-Manufacturing, OR Combination of Manufacturing &amp; Non-Manufacturing</t>
  </si>
  <si>
    <t>250 Montclair Ave, San Jose, CA, 95116</t>
  </si>
  <si>
    <t>6238 Cahalan Ave, San Jose, CA, 95123</t>
  </si>
  <si>
    <t>Residential Neighborhood</t>
  </si>
  <si>
    <t>R-1-8 - Single Family Residential</t>
  </si>
  <si>
    <t>1081 Foxworthy Ave, San Jose, CA, 95118</t>
  </si>
  <si>
    <t>266 N 28th St, San Jose, CA, 95116</t>
  </si>
  <si>
    <t>280 N Capitol Ave, San Jose, CA, 95127</t>
  </si>
  <si>
    <t>1682 Virginia Pl, San Jose, CA, 95116</t>
  </si>
  <si>
    <t>2305 S Bascom Ave, San Jose, CA, 95008</t>
  </si>
  <si>
    <t>1005 S White Rd, San Jose, CA, 95127</t>
  </si>
  <si>
    <t>505 S White Rd, San Jose, CA, 95127</t>
  </si>
  <si>
    <t>1705 Tully Rd, San Jose, CA, 95122</t>
  </si>
  <si>
    <t>1749 Mt Pleasant Rd, San Jose, CA, RD</t>
  </si>
  <si>
    <t>3245 Sierra Rd, San Jose, CA, 95132</t>
  </si>
  <si>
    <t>3320 San Felipe Rd, San Jose, CA, 95135</t>
  </si>
  <si>
    <t>1898 N Capitol Ave, San Jose, CA, 95132</t>
  </si>
  <si>
    <t>3151 S White Rd, San Jose, CA, 95148</t>
  </si>
  <si>
    <t>3543 Kettmann Rd, San Jose, CA, 95121</t>
  </si>
  <si>
    <t>2388 S Bascom Ave, San Jose, CA, 95008</t>
  </si>
  <si>
    <t>2355 S Bascom Ave, San Jose, CA, 95008</t>
  </si>
  <si>
    <t>2425 S Bascom Ave, San Jose, CA, 95008</t>
  </si>
  <si>
    <t>2315 S Bascom Ave, San Jose, CA, 95008</t>
  </si>
  <si>
    <t>2275 Camden Ave, San Jose, CA, 95008</t>
  </si>
  <si>
    <t>1380 Olympia Ave, San Jose, CA, 95008</t>
  </si>
  <si>
    <t>2887 S Bascom Ave, San Jose, CA, 95008</t>
  </si>
  <si>
    <t>2940 S Bascom Ave, San Jose, CA, 95124</t>
  </si>
  <si>
    <t>Address Unknown, San Jose, CA</t>
  </si>
  <si>
    <t>1999 Camden Ave, San Jose, CA, 95124</t>
  </si>
  <si>
    <t>2030 Camden Ave, San Jose, CA, 95124</t>
  </si>
  <si>
    <t>2037 Woodard Rd, San Jose, CA, 95124</t>
  </si>
  <si>
    <t>3687 Union Ave, San Jose, CA, 95124</t>
  </si>
  <si>
    <t>1206 N Capitol Ave, San Jose, CA, 95132</t>
  </si>
  <si>
    <t>3190 S Bascom Ave, San Jose, CA, 95124</t>
  </si>
  <si>
    <t>251 River Oaks Pkwy, San Jose, CA, 95134</t>
  </si>
  <si>
    <t>211 River Oaks Pkwy, San Jose, CA, 95134</t>
  </si>
  <si>
    <t>333 River Oaks Pkwy, San Jose, CA, 95134</t>
  </si>
  <si>
    <t>2682 Berryessa Rd, San Jose, CA, 95132</t>
  </si>
  <si>
    <t>2670 Seely Ave, San Jose, CA, 95134</t>
  </si>
  <si>
    <t>1239 Piedmont Rd, San Jose, CA, 95132</t>
  </si>
  <si>
    <t>3078 Magliocco Dr, San Jose, CA, 95128</t>
  </si>
  <si>
    <t>1270 S Winchester Blvd, San Jose, CA, 95128</t>
  </si>
  <si>
    <t>3071 Driftwood Dr, San Jose, CA, 95128</t>
  </si>
  <si>
    <t>3075 Driftwood Dr, San Jose, CA, 95128</t>
  </si>
  <si>
    <t>1390 S Winchester Blvd, San Jose, CA, 95128</t>
  </si>
  <si>
    <t>UR</t>
  </si>
  <si>
    <t>1366 S Winchester Blvd, San Jose, CA, 95128</t>
  </si>
  <si>
    <t>1302 S Winchester Blvd, San Jose, CA, 95128</t>
  </si>
  <si>
    <t>1362 S Winchester Blvd, San Jose, CA, 95128</t>
  </si>
  <si>
    <t>1358 S Winchester Blvd, San Jose, CA, 95128</t>
  </si>
  <si>
    <t>1410 S Winchester Blvd, San Jose, CA, 95128</t>
  </si>
  <si>
    <t>3070 Driftwood Dr, San Jose, CA, 95128</t>
  </si>
  <si>
    <t>1510 S Winchester Blvd, San Jose, CA, 95128</t>
  </si>
  <si>
    <t>1462 S Winchester Blvd, San Jose, CA, 95128</t>
  </si>
  <si>
    <t>1025 S Bascom Ave, San Jose, CA, 95128</t>
  </si>
  <si>
    <t>1027 S Bascom Ave, San Jose, CA, 95128</t>
  </si>
  <si>
    <t>1125 S Bascom Ave, San Jose, CA, 95128</t>
  </si>
  <si>
    <t>1145 S Bascom Ave, San Jose, CA, 95128</t>
  </si>
  <si>
    <t>1371 S Bascom Ave, San Jose, CA, 95128</t>
  </si>
  <si>
    <t>1299 Del Mar Ave, San Jose, CA, 95128</t>
  </si>
  <si>
    <t>1264 S Bascom Ave, San Jose, CA, 95128</t>
  </si>
  <si>
    <t>1256 S Bascom Ave, San Jose, CA, 95128</t>
  </si>
  <si>
    <t>1238 S Bascom Ave, San Jose, CA, 95128</t>
  </si>
  <si>
    <t>1224 S Bascom Ave, San Jose, CA, 95128</t>
  </si>
  <si>
    <t>1190 Del Mar Ave, San Jose, CA, 95128</t>
  </si>
  <si>
    <t>1150 S Bascom Ave, San Jose, CA, 95128</t>
  </si>
  <si>
    <t>960 S Bascom Ave, San Jose, CA, 95128</t>
  </si>
  <si>
    <t>912 S Bascom Ave, San Jose, CA, 95128</t>
  </si>
  <si>
    <t>902 S Bascom Ave, San Jose, CA, 95128</t>
  </si>
  <si>
    <t>2170 Fruitdale Ave, San Jose, CA, 95128</t>
  </si>
  <si>
    <t>980 S Bascom Ave, San Jose, CA, 95128</t>
  </si>
  <si>
    <t>1090 S Bascom Ave, San Jose, CA, 95128</t>
  </si>
  <si>
    <t>1426 Fruitdale Ave, San Jose, CA, 95128</t>
  </si>
  <si>
    <t>1777 Hamilton Ave, San Jose, CA, 95125</t>
  </si>
  <si>
    <t>1655 Hamilton Ave, San Jose, CA, 95125</t>
  </si>
  <si>
    <t>1579 Meridian Ave, San Jose, CA, 95125</t>
  </si>
  <si>
    <t>1038 Leigh Ave, San Jose, CA, 95126</t>
  </si>
  <si>
    <t>1064 Leigh Ave, San Jose, CA, 95126</t>
  </si>
  <si>
    <t>1310 N 1st St, San Jose, CA, 95112</t>
  </si>
  <si>
    <t>3910 Stevens Creek Blvd, San Jose, CA, 95129</t>
  </si>
  <si>
    <t>375 Saratoga Ave, San Jose, CA, 95129</t>
  </si>
  <si>
    <t>397 Saratoga Ave, San Jose, CA, 95129</t>
  </si>
  <si>
    <t>401 Saratoga Ave, San Jose, CA, 95129</t>
  </si>
  <si>
    <t>4902 Stevens Creek Blvd, San Jose, CA, 95129</t>
  </si>
  <si>
    <t>4980 Stevens Creek Blvd, San Jose, CA, 95129</t>
  </si>
  <si>
    <t>1299 S Winchester Blvd, San Jose, CA, 95128</t>
  </si>
  <si>
    <t>1245 S Winchester Blvd, San Jose, CA, 95128</t>
  </si>
  <si>
    <t>3111 Payne Ave, San Jose, CA, 95117</t>
  </si>
  <si>
    <t>1138 Saratoga Ave, San Jose, CA, 95129</t>
  </si>
  <si>
    <t>1072 Saratoga Ave, San Jose, CA, 95129</t>
  </si>
  <si>
    <t>1101 S Winchester Blvd, San Jose, CA, 95128</t>
  </si>
  <si>
    <t>3120 Williams Rd, San Jose, CA, 95117</t>
  </si>
  <si>
    <t>1035 S Winchester Blvd, San Jose, CA, 95128</t>
  </si>
  <si>
    <t>947 S Winchester Blvd, San Jose, CA, 95128</t>
  </si>
  <si>
    <t>910 Saratoga Ave, San Jose, CA, 95129</t>
  </si>
  <si>
    <t>410 Saratoga Ave, San Jose, CA, 95129</t>
  </si>
  <si>
    <t>435 S Kiely Blvd, San Jose, CA, 95117</t>
  </si>
  <si>
    <t>451 S Kiely Blvd, San Jose, CA, 95117</t>
  </si>
  <si>
    <t>497 S Kiely Blvd, San Jose, CA, 95117</t>
  </si>
  <si>
    <t>404 Saratoga Ave, San Jose, CA, 95129</t>
  </si>
  <si>
    <t>3732 Stevens Creek Blvd, San Jose, CA, 95117</t>
  </si>
  <si>
    <t>3710 Stevens Creek Blvd, San Jose, CA, 95117</t>
  </si>
  <si>
    <t>3744 Stevens Creek Blvd, San Jose, CA, 95117</t>
  </si>
  <si>
    <t>3738 Stevens Creek Blvd, San Jose, CA, 95117</t>
  </si>
  <si>
    <t>3580 Stevens Creek Blvd, San Jose, CA, 95117</t>
  </si>
  <si>
    <t>3550 Stevens Creek Blvd, San Jose, CA, 95117</t>
  </si>
  <si>
    <t>3530 Stevens Creek Blvd, San Jose, CA, 95117</t>
  </si>
  <si>
    <t>3490 Stevens Creek Blvd, San Jose, CA, 95117</t>
  </si>
  <si>
    <t>3290 Stevens Creek Blvd, San Jose, CA, 95117</t>
  </si>
  <si>
    <t>3136 Stevens Creek Blvd, San Jose, CA, 95117</t>
  </si>
  <si>
    <t>3132 Stevens Creek Blvd, San Jose, CA, 95117</t>
  </si>
  <si>
    <t>3158 Stevens Creek Blvd, San Jose, CA, 95117</t>
  </si>
  <si>
    <t>1435 S Winchester Blvd, San Jose, CA, 95128</t>
  </si>
  <si>
    <t>1537 S Winchester Blvd, San Jose, CA, 95128</t>
  </si>
  <si>
    <t>1505 S Winchester Blvd, San Jose, CA, 95128</t>
  </si>
  <si>
    <t>4855 Atherton Ave, San Jose, CA, 95130</t>
  </si>
  <si>
    <t>1494 Saratoga Ave, San Jose, CA, 95129</t>
  </si>
  <si>
    <t>965 S De Anza Blvd, San Jose, CA, 95129</t>
  </si>
  <si>
    <t>1011 S De Anza Blvd, San Jose, CA, 95129</t>
  </si>
  <si>
    <t>1125 S De Anza Blvd, San Jose, CA, 95129</t>
  </si>
  <si>
    <t>20405 Prospect Rd, San Jose, CA, 95129</t>
  </si>
  <si>
    <t>7281 Coronado Dr, San Jose, CA, 95129</t>
  </si>
  <si>
    <t>7280 Blue Hill Dr, San Jose, CA, DR</t>
  </si>
  <si>
    <t>1084 S De Anza Blvd Ste A, San Jose, CA, A</t>
  </si>
  <si>
    <t>982 S De Anza Blvd, San Jose, CA, 95129</t>
  </si>
  <si>
    <t>998 S De Anza Blvd, San Jose, CA, 95129</t>
  </si>
  <si>
    <t>1000 S De Anza Blvd, San Jose, CA, 95129</t>
  </si>
  <si>
    <t>1361 S Winchester Blvd, San Jose, CA, 95128</t>
  </si>
  <si>
    <t>1086 N 1st St, San Jose, CA, 95112</t>
  </si>
  <si>
    <t>955 Saratoga Ave, San Jose, CA, 95129</t>
  </si>
  <si>
    <t>4250 Williams Rd, San Jose, CA, 95129</t>
  </si>
  <si>
    <t>1111 Saratoga Ave, San Jose, CA, 95129</t>
  </si>
  <si>
    <t>1547 Saratoga Ave, San Jose, CA, 95129</t>
  </si>
  <si>
    <t>1881 Quito Rd, San Jose, CA, 95129</t>
  </si>
  <si>
    <t>1888 Saratoga Ave, San Jose, CA, 95129</t>
  </si>
  <si>
    <t>1525 Meridian Ave, San Jose, CA, 95125</t>
  </si>
  <si>
    <t>5299 McKee Rd, San Jose, CA, 95127</t>
  </si>
  <si>
    <t>302 Toyon Ave, San Jose, CA, 95127</t>
  </si>
  <si>
    <t>1084 Foxworthy Ave, San Jose, CA, 95118</t>
  </si>
  <si>
    <t>3162 Newberry Dr, San Jose, CA, 95118</t>
  </si>
  <si>
    <t>3180 Newberry Dr, San Jose, CA, 95118</t>
  </si>
  <si>
    <t>1595 Branham Ln, San Jose, CA, 95118</t>
  </si>
  <si>
    <t>1421 Branham Ln, San Jose, CA, 95118</t>
  </si>
  <si>
    <t>1011 Blossom Hill Rd, San Jose, CA, 95123</t>
  </si>
  <si>
    <t>841 Blossom Hill Rd, San Jose, CA, RD</t>
  </si>
  <si>
    <t>463 Blossom Hill Rd, San Jose, CA, RD</t>
  </si>
  <si>
    <t>465 Blossom Hill Rd, San Jose, CA, RD</t>
  </si>
  <si>
    <t>5598 Entrada Cedros, San Jose, CA, 95123</t>
  </si>
  <si>
    <t>5560 Entrada Cedros, San Jose, CA, 95123</t>
  </si>
  <si>
    <t>520 Giuffrida Ave, San Jose, CA, 95123</t>
  </si>
  <si>
    <t>611 Blossom Hill Rd, San Jose, CA, RD</t>
  </si>
  <si>
    <t>1188 Branham Ln, San Jose, CA, 95118</t>
  </si>
  <si>
    <t>5330 Camden Ave, San Jose, CA, 95124</t>
  </si>
  <si>
    <t>15025 Carter Ave, San Jose, CA, 95124</t>
  </si>
  <si>
    <t>15010 Paseo Tranquillo, San Jose, CA, 95118</t>
  </si>
  <si>
    <t>1201 N Capitol Ave, San Jose, CA, 95132</t>
  </si>
  <si>
    <t>808 Colleen Dr, San Jose, CA, 95123</t>
  </si>
  <si>
    <t>R-1-5 - Single Family Residential</t>
  </si>
  <si>
    <t>2001 The Alameda, San Jose, CA, 95126</t>
  </si>
  <si>
    <t>1737 N 1st St, San Jose, CA, 95112</t>
  </si>
  <si>
    <t>1763 Blossom Hill Rd, San Jose, CA, RD</t>
  </si>
  <si>
    <t>1777 Blossom Hill Rd, San Jose, CA, RD</t>
  </si>
  <si>
    <t>431 Blossom Hill Rd, San Jose, CA, 95123</t>
  </si>
  <si>
    <t>2095 Park Ave, San Jose, CA, 95126</t>
  </si>
  <si>
    <t>1299 E Santa Clara St, San Jose, CA, 95116</t>
  </si>
  <si>
    <t>224 N 27th St, San Jose, CA, 95116</t>
  </si>
  <si>
    <t>100 N 27th St, San Jose, CA, 95116</t>
  </si>
  <si>
    <t>3490 McKee Rd, San Jose, CA, 95127</t>
  </si>
  <si>
    <t>1699 N Capitol Ave, San Jose, CA, 95132</t>
  </si>
  <si>
    <t>4605 Cherry Ave, San Jose, CA, 95118</t>
  </si>
  <si>
    <t>888 N 1st St Ste 201, San Jose, CA, 201</t>
  </si>
  <si>
    <t>Transit Residential</t>
  </si>
  <si>
    <t>TR</t>
  </si>
  <si>
    <t>711 N 7th St, San Jose, CA, 95112</t>
  </si>
  <si>
    <t>852 N 10th St, San Jose, CA, 95112</t>
  </si>
  <si>
    <t>808 N 10th St, San Jose, CA, 95112</t>
  </si>
  <si>
    <t>467 E Taylor St, San Jose, CA, 95112</t>
  </si>
  <si>
    <t>809 N 13th St, San Jose, CA, 95112</t>
  </si>
  <si>
    <t>802 N 13th St, San Jose, CA, 95112</t>
  </si>
  <si>
    <t>325 S Capitol Ave, San Jose, CA, 95127</t>
  </si>
  <si>
    <t>3145 Payne Ave, San Jose, CA, 95117</t>
  </si>
  <si>
    <t>3707 Williams Rd, San Jose, CA, 95117</t>
  </si>
  <si>
    <t>Public/Quasi-Public</t>
  </si>
  <si>
    <t>701 Miller St, San Jose, CA, 95110</t>
  </si>
  <si>
    <t>191 Ryland St, San Jose, CA, 95110</t>
  </si>
  <si>
    <t>197 Ryland St, San Jose, CA, 95110</t>
  </si>
  <si>
    <t>199 Ryland St, San Jose, CA, 95110</t>
  </si>
  <si>
    <t>211 Ryland St, San Jose, CA, 95110</t>
  </si>
  <si>
    <t>183 Ryland St, San Jose, CA, 95110</t>
  </si>
  <si>
    <t>338 N Montgomery St, San Jose, CA, 95110</t>
  </si>
  <si>
    <t>150 N Montgomery St, San Jose, CA, 95110</t>
  </si>
  <si>
    <t>180 N Montgomery St, San Jose, CA, 95110</t>
  </si>
  <si>
    <t>190 N Montgomery St, San Jose, CA, 95110</t>
  </si>
  <si>
    <t>240 N Montgomery St, San Jose, CA, 95110</t>
  </si>
  <si>
    <t>260 N Montgomery St, San Jose, CA, 95110</t>
  </si>
  <si>
    <t>255 N Autumn St, San Jose, CA, 95110</t>
  </si>
  <si>
    <t>211 W St John St, San Jose, CA, ST</t>
  </si>
  <si>
    <t>255 Delmas Ave, San Jose, CA, 95110</t>
  </si>
  <si>
    <t>257 Delmas Ave, San Jose, CA, 95110</t>
  </si>
  <si>
    <t>267 Delmas Ave, San Jose, CA, 95110</t>
  </si>
  <si>
    <t>443 W San Carlos St, San Jose, CA, 95110</t>
  </si>
  <si>
    <t>449 W San Carlos St, San Jose, CA, 95110</t>
  </si>
  <si>
    <t>459 W San Carlos St, San Jose, CA, 95110</t>
  </si>
  <si>
    <t>437 W San Carlos St, San Jose, CA, 95110</t>
  </si>
  <si>
    <t>258 Sonoma St, San Jose, CA, 95110</t>
  </si>
  <si>
    <t>248 Sonoma St, San Jose, CA, 95110</t>
  </si>
  <si>
    <t>238 Sonoma St, San Jose, CA, 95110</t>
  </si>
  <si>
    <t>228 Sonoma St, San Jose, CA, 95110</t>
  </si>
  <si>
    <t>218 Sonoma St, San Jose, CA, 95110</t>
  </si>
  <si>
    <t>412 Park Ave, San Jose, CA, 95110</t>
  </si>
  <si>
    <t>274 Gifford Ave, San Jose, CA, 95110</t>
  </si>
  <si>
    <t>266 Gifford Ave, San Jose, CA, 95110</t>
  </si>
  <si>
    <t>258 Gifford Ave, San Jose, CA, 95110</t>
  </si>
  <si>
    <t>248 Gifford Ave, San Jose, CA, 95110</t>
  </si>
  <si>
    <t>San Jose, CA</t>
  </si>
  <si>
    <t>293 Josefa St, San Jose, CA, 95110</t>
  </si>
  <si>
    <t>507 W San Carlos St, San Jose, CA, 95126</t>
  </si>
  <si>
    <t>515 W San Carlos St, San Jose, CA, 95126</t>
  </si>
  <si>
    <t>521 W San Carlos St, San Jose, CA, 95126</t>
  </si>
  <si>
    <t>525 W San Carlos St, San Jose, CA, 95126</t>
  </si>
  <si>
    <t>527 W San Carlos St, San Jose, CA, 95126</t>
  </si>
  <si>
    <t>533 W San Carlos St, San Jose, CA, 95126</t>
  </si>
  <si>
    <t>498 Park Ave, San Jose, CA, 95110</t>
  </si>
  <si>
    <t>496 Park Ave, San Jose, CA, 95110</t>
  </si>
  <si>
    <t>275 Josefa St, San Jose, CA, 95110</t>
  </si>
  <si>
    <t>535 Lorraine Ave, San Jose, CA, 95110</t>
  </si>
  <si>
    <t>550 Lorraine Ave, San Jose, CA, 95110</t>
  </si>
  <si>
    <t>514 Lorraine Ave, San Jose, CA, 95110</t>
  </si>
  <si>
    <t>512 Lorraine Ave, San Jose, CA, 95110</t>
  </si>
  <si>
    <t>510 Lorraine Ave, San Jose, CA, 95110</t>
  </si>
  <si>
    <t>506 Lorraine Ave, San Jose, CA, 95110</t>
  </si>
  <si>
    <t>255 Josefa St, San Jose, CA, 95110</t>
  </si>
  <si>
    <t>181 Gifford Ave, San Jose, CA, 95110</t>
  </si>
  <si>
    <t>471 Park Ave, San Jose, CA, 95110</t>
  </si>
  <si>
    <t>483 Park Ave, San Jose, CA, 95110</t>
  </si>
  <si>
    <t>706 W Julian St, San Jose, CA, 95126</t>
  </si>
  <si>
    <t>776 Clinton Pl, San Jose, CA, 95126</t>
  </si>
  <si>
    <t>909 W Julian St, San Jose, CA, 95126</t>
  </si>
  <si>
    <t>173 N Morrison Ave, San Jose, CA, 95126</t>
  </si>
  <si>
    <t>190 Race St, San Jose, CA, 95126</t>
  </si>
  <si>
    <t>876 The Alameda, San Jose, CA, 95126</t>
  </si>
  <si>
    <t>845 Park Ave, San Jose, CA, 95126</t>
  </si>
  <si>
    <t>275 McEvoy St, San Jose, CA, 95126</t>
  </si>
  <si>
    <t>800 Park Ave, San Jose, CA, 95126</t>
  </si>
  <si>
    <t>782 Park Ave, San Jose, CA, 95126</t>
  </si>
  <si>
    <t>216 Sunol St, San Jose, CA, 95126</t>
  </si>
  <si>
    <t>214 Sunol St, San Jose, CA, 95126</t>
  </si>
  <si>
    <t>210 Sunol St, San Jose, CA, 95126</t>
  </si>
  <si>
    <t>208 Sunol St, San Jose, CA, 95126</t>
  </si>
  <si>
    <t>759 W San Carlos St, San Jose, CA, 95126</t>
  </si>
  <si>
    <t>1855 Park Ave, San Jose, CA, 95126</t>
  </si>
  <si>
    <t>1753 W San Carlos St, San Jose, CA, 95128</t>
  </si>
  <si>
    <t>101 N Bascom Ave, San Jose, CA, 95128</t>
  </si>
  <si>
    <t>1725 Berryessa Rd, San Jose, CA, 95133</t>
  </si>
  <si>
    <t>1715 Berryessa Rd, San Jose, CA, 95133</t>
  </si>
  <si>
    <t>176 N Winchester Blvd, San Jose, CA, 95128</t>
  </si>
  <si>
    <t>705 Capitol Ex Auto Mall, San Jose, CA, 95136</t>
  </si>
  <si>
    <t>715 Capitol Ex Auto Mall, San Jose, CA, 95136</t>
  </si>
  <si>
    <t>1547 Meridian Ave, San Jose, CA, 95125</t>
  </si>
  <si>
    <t>1535 Meridian Ave, San Jose, CA, 95125</t>
  </si>
  <si>
    <t>1858 Almaden Rd, San Jose, CA, 95125</t>
  </si>
  <si>
    <t>1840 Almaden Rd, San Jose, CA, 95125</t>
  </si>
  <si>
    <t>1747 Almaden Rd, San Jose, CA, 95125</t>
  </si>
  <si>
    <t>1801 Almaden Rd, San Jose, CA, 95125</t>
  </si>
  <si>
    <t>990 Meridian Ave, San Jose, CA, 95126</t>
  </si>
  <si>
    <t>854 Race St, San Jose, CA, 95126</t>
  </si>
  <si>
    <t>1255 Pedro St, San Jose, CA, 95126</t>
  </si>
  <si>
    <t>792 Meridian Way, San Jose, CA, 95126</t>
  </si>
  <si>
    <t>741 Auzerais Ave, San Jose, CA, 95126</t>
  </si>
  <si>
    <t>564 W San Carlos St, San Jose, CA, 95126</t>
  </si>
  <si>
    <t>550 W San Carlos St, San Jose, CA, 95126</t>
  </si>
  <si>
    <t>530 W San Carlos St, San Jose, CA, 95126</t>
  </si>
  <si>
    <t>323 Josefa St, San Jose, CA, 95126</t>
  </si>
  <si>
    <t>523 Columbia Ave, San Jose, CA, 95126</t>
  </si>
  <si>
    <t>561 Columbia Ave, San Jose, CA, 95126</t>
  </si>
  <si>
    <t>567 Columbia Ave, San Jose, CA, 95126</t>
  </si>
  <si>
    <t>332 Josefa St, San Jose, CA, 95126</t>
  </si>
  <si>
    <t>476 W San Carlos St, San Jose, CA, 95126</t>
  </si>
  <si>
    <t>496 W San Carlos St, San Jose, CA, 95126</t>
  </si>
  <si>
    <t>3780 Stevens Creek Blvd, San Jose, CA, 95117</t>
  </si>
  <si>
    <t>4080 Stevens Creek Blvd, San Jose, CA, 95129</t>
  </si>
  <si>
    <t>7225 Rainbow Dr, San Jose, CA, 95129</t>
  </si>
  <si>
    <t>458 W San Carlos St, San Jose, CA, 95126</t>
  </si>
  <si>
    <t>452 W San Carlos St, San Jose, CA, 95110</t>
  </si>
  <si>
    <t>432 W San Carlos St, San Jose, CA, 95110</t>
  </si>
  <si>
    <t>422 W San Carlos St, San Jose, CA, 95110</t>
  </si>
  <si>
    <t>420 W San Carlos St, San Jose, CA, 95110</t>
  </si>
  <si>
    <t>414 W San Carlos St, San Jose, CA, 95126</t>
  </si>
  <si>
    <t>450 W San Carlos St, San Jose, CA, 95110</t>
  </si>
  <si>
    <t>301 Delmas Ave, San Jose, CA, 95126</t>
  </si>
  <si>
    <t>317 Delmas Ave, San Jose, CA, 95126</t>
  </si>
  <si>
    <t>402 S Market St, San Jose, CA, 95113</t>
  </si>
  <si>
    <t>401 S 1st St, San Jose, CA, 95113</t>
  </si>
  <si>
    <t>561 Almaden Ave, San Jose, CA, 95110</t>
  </si>
  <si>
    <t>571 Almaden Ave, San Jose, CA, 95110</t>
  </si>
  <si>
    <t>1080 S De Anza Blvd, San Jose, CA, 95129</t>
  </si>
  <si>
    <t>260 N 1st St, San Jose, CA, 95113</t>
  </si>
  <si>
    <t>258 N 2nd St, San Jose, CA, 95112</t>
  </si>
  <si>
    <t>237 N 4th St, San Jose, CA, 95112</t>
  </si>
  <si>
    <t>235 N 4th St, San Jose, CA, 95112</t>
  </si>
  <si>
    <t>231 N 4th St, San Jose, CA, 95112</t>
  </si>
  <si>
    <t>298 N 4th St, San Jose, CA, 95112</t>
  </si>
  <si>
    <t>1350 E St James St, San Jose, CA, 95116</t>
  </si>
  <si>
    <t>170 N 28th St, San Jose, CA, 95116</t>
  </si>
  <si>
    <t>1075 E Santa Clara St, San Jose, CA, 95116</t>
  </si>
  <si>
    <t>1047 E Santa Clara St, San Jose, CA, 95116</t>
  </si>
  <si>
    <t>1001 E Santa Clara St, San Jose, CA, 95116</t>
  </si>
  <si>
    <t>777 E Santa Clara St, San Jose, CA, 95112</t>
  </si>
  <si>
    <t>675 E Santa Clara St, San Jose, CA, 95112</t>
  </si>
  <si>
    <t>70 N 15th St, San Jose, CA, 95112</t>
  </si>
  <si>
    <t>157 N 4th St, San Jose, CA, 95112</t>
  </si>
  <si>
    <t>127 N 4th St, San Jose, CA, 95112</t>
  </si>
  <si>
    <t>115 N 4th St, San Jose, CA, 95112</t>
  </si>
  <si>
    <t>8 E San Fernando St, San Jose, CA, 95113</t>
  </si>
  <si>
    <t>66 S 7th St, San Jose, CA, 95112</t>
  </si>
  <si>
    <t>2484 Berryessa Rd, San Jose, CA, 95133</t>
  </si>
  <si>
    <t>777 N Capitol Ave, San Jose, CA, 95132</t>
  </si>
  <si>
    <t>854 E Santa Clara St, San Jose, CA, 95116</t>
  </si>
  <si>
    <t>856 E Santa Clara St, San Jose, CA, 95116</t>
  </si>
  <si>
    <t>1260 E Santa Clara St, San Jose, CA, 95116</t>
  </si>
  <si>
    <t>148 E San Carlos St, San Jose, CA, 95112</t>
  </si>
  <si>
    <t>394 S 2nd St, San Jose, CA, 95113</t>
  </si>
  <si>
    <t>345 S 3rd St, San Jose, CA, 95112</t>
  </si>
  <si>
    <t>383 S 3rd St, San Jose, CA, 95112</t>
  </si>
  <si>
    <t>354 S 2nd St, San Jose, CA, 95113</t>
  </si>
  <si>
    <t>496 S 2nd St, San Jose, CA, 95113</t>
  </si>
  <si>
    <t>456 S 2nd St, San Jose, CA, 95113</t>
  </si>
  <si>
    <t>900 S 2nd St, San Jose, CA, 95112</t>
  </si>
  <si>
    <t>143 E Virginia St, San Jose, CA, 95112</t>
  </si>
  <si>
    <t>617 S 3rd St, San Jose, CA, 95112</t>
  </si>
  <si>
    <t>545 S 2nd St, San Jose, CA, 95112</t>
  </si>
  <si>
    <t>551 S 2nd St, San Jose, CA, 95112</t>
  </si>
  <si>
    <t>161 Patterson St, San Jose, CA, 95112</t>
  </si>
  <si>
    <t>599 S 4th St, San Jose, CA, 95112</t>
  </si>
  <si>
    <t>1250 Story Rd, San Jose, CA, 95122</t>
  </si>
  <si>
    <t>1718 Senter Rd, San Jose, CA, 95112</t>
  </si>
  <si>
    <t>1564 McKee Rd, San Jose, CA, 95116</t>
  </si>
  <si>
    <t>1570 McKee Rd, San Jose, CA, 95116</t>
  </si>
  <si>
    <t>2277 Alum Rock Ave, San Jose, CA, 95116</t>
  </si>
  <si>
    <t>1915 Alum Rock Ave, San Jose, CA, 95116</t>
  </si>
  <si>
    <t>1925 Alum Rock Ave, San Jose, CA, 95116</t>
  </si>
  <si>
    <t>1805 Alum Rock Ave, San Jose, CA, 95116</t>
  </si>
  <si>
    <t>1810 Alum Rock Ave, San Jose, CA, 95116</t>
  </si>
  <si>
    <t>2070 Alum Rock Ave, San Jose, CA, 95116</t>
  </si>
  <si>
    <t>2254 Alum Rock Ave, San Jose, CA, 95116</t>
  </si>
  <si>
    <t>29 S Jackson Ave, San Jose, CA, 95116</t>
  </si>
  <si>
    <t>1717 Kammerer Ave, San Jose, CA, 95116</t>
  </si>
  <si>
    <t>4001 N 1st St, San Jose, CA, 95134</t>
  </si>
  <si>
    <t>3939 N 1st St, San Jose, CA, 95134</t>
  </si>
  <si>
    <t>410 S King Rd, San Jose, CA, 95116</t>
  </si>
  <si>
    <t>250 W Tasman Dr Unit 100, San Jose, CA, 95134</t>
  </si>
  <si>
    <t>230 W Tasman Dr, San Jose, CA, 95134</t>
  </si>
  <si>
    <t>210 W Tasman Dr, San Jose, CA, 95134</t>
  </si>
  <si>
    <t>190 W Tasman Dr, San Jose, CA, 95134</t>
  </si>
  <si>
    <t>1710 Berryessa Rd, San Jose, CA, 95133</t>
  </si>
  <si>
    <t>180 W Tasman Dr, San Jose, CA, 95134</t>
  </si>
  <si>
    <t>964 Lundy Ave, San Jose, CA, 95133</t>
  </si>
  <si>
    <t>3410 Monterey Rd, San Jose, CA, 95111</t>
  </si>
  <si>
    <t>3390 Monterey Rd, San Jose, CA, 95111</t>
  </si>
  <si>
    <t>3382 Monterey Rd Unit 1, San Jose, CA, 95111</t>
  </si>
  <si>
    <t>3378 Monterey Rd, San Jose, CA, 95111</t>
  </si>
  <si>
    <t>150 W Tasman Dr, San Jose, CA, 95134</t>
  </si>
  <si>
    <t>3331 N 1st St, San Jose, CA, 95134</t>
  </si>
  <si>
    <t>210 Baypointe Pkwy, San Jose, CA, 95134</t>
  </si>
  <si>
    <t>240 Baypointe Pkwy, San Jose, CA, 95134</t>
  </si>
  <si>
    <t>255 Baypointe Pkwy, San Jose, CA, 95134</t>
  </si>
  <si>
    <t>191 Baypointe Pkwy, San Jose, CA, 95134</t>
  </si>
  <si>
    <t>178 E Tasman Dr, San Jose, CA, 95134</t>
  </si>
  <si>
    <t>111 Baypointe Pkwy, San Jose, CA, 95134</t>
  </si>
  <si>
    <t>2470 Berryessa Rd, San Jose, CA, 95133</t>
  </si>
  <si>
    <t>3550 N 1st St, San Jose, CA, 95134</t>
  </si>
  <si>
    <t>155 River Oaks Pkwy, San Jose, CA, 95134</t>
  </si>
  <si>
    <t>101 Daggett Dr, San Jose, CA, 95134</t>
  </si>
  <si>
    <t>2865 Zanker Rd, San Jose, CA, 95134</t>
  </si>
  <si>
    <t>3011 N 1st St, San Jose, CA, 95134</t>
  </si>
  <si>
    <t>3003 N 1st St, San Jose, CA, 95134</t>
  </si>
  <si>
    <t>2904 Orchard Pkwy, San Jose, CA, 95134</t>
  </si>
  <si>
    <t>3000 Orchard Pkwy, San Jose, CA, 95134</t>
  </si>
  <si>
    <t>2820 Orchard Pkwy, San Jose, CA, 95134</t>
  </si>
  <si>
    <t>2825 N 1st St, San Jose, CA, 95134</t>
  </si>
  <si>
    <t>820 Malone Rd, San Jose, CA, 95125</t>
  </si>
  <si>
    <t>1399 Foxworthy Ave, San Jose, CA, 95118</t>
  </si>
  <si>
    <t>1083 Foxworthy Ave, San Jose, CA, 95118</t>
  </si>
  <si>
    <t>2288 Lincoln Ave, San Jose, CA, 95125</t>
  </si>
  <si>
    <t>2921 Senter Rd, San Jose, CA, 95111</t>
  </si>
  <si>
    <t>3 W Plumeria Dr, San Jose, CA, 95134</t>
  </si>
  <si>
    <t>2078 Evans Ln, San Jose, CA, 95125</t>
  </si>
  <si>
    <t>463 Blossom Hill Rd G, San Jose, CA, RD G</t>
  </si>
  <si>
    <t>W Capitol Expy, San Jose, CA, 95136</t>
  </si>
  <si>
    <t>2905 Senter Rd, San Jose, CA, 95111</t>
  </si>
  <si>
    <t>1563 El Dorado St, San Jose, CA, 95002</t>
  </si>
  <si>
    <t>1480 Liberty St, San Jose, CA, 95002</t>
  </si>
  <si>
    <t>ID</t>
  </si>
  <si>
    <t>APN</t>
  </si>
  <si>
    <t>Consolidated Sites</t>
  </si>
  <si>
    <t>Parcel Size</t>
  </si>
  <si>
    <t>Existing Use/Vacancy</t>
  </si>
  <si>
    <t>Infrastructure</t>
  </si>
  <si>
    <t>Publicly Owned</t>
  </si>
  <si>
    <t>Site Status</t>
  </si>
  <si>
    <t>Identified in last two cycles</t>
  </si>
  <si>
    <t>Lower Income Capacity</t>
  </si>
  <si>
    <t>Moderate Income Capacity</t>
  </si>
  <si>
    <t>Above Moderate Income Capacity</t>
  </si>
  <si>
    <t>Inventory Income Level</t>
  </si>
  <si>
    <t>Total Capacity</t>
  </si>
  <si>
    <t>097-07-046</t>
  </si>
  <si>
    <t>097-07-028</t>
  </si>
  <si>
    <t>235-02-031</t>
  </si>
  <si>
    <t>097-07-063</t>
  </si>
  <si>
    <t>097-07-039</t>
  </si>
  <si>
    <t>097-07-085</t>
  </si>
  <si>
    <t>235-02-035</t>
  </si>
  <si>
    <t>235-02-033</t>
  </si>
  <si>
    <t>097-07-047</t>
  </si>
  <si>
    <t>101-29-011</t>
  </si>
  <si>
    <t>101-29-006</t>
  </si>
  <si>
    <t>101-29-010</t>
  </si>
  <si>
    <t>101-29-007</t>
  </si>
  <si>
    <t>097-53-007</t>
  </si>
  <si>
    <t>097-07-040</t>
  </si>
  <si>
    <t>097-06-032</t>
  </si>
  <si>
    <t>101-30-004</t>
  </si>
  <si>
    <t>101-29-005</t>
  </si>
  <si>
    <t>101-30-006</t>
  </si>
  <si>
    <t>101-02-011</t>
  </si>
  <si>
    <t>101-29-012</t>
  </si>
  <si>
    <t>101-29-013</t>
  </si>
  <si>
    <t>097-53-008</t>
  </si>
  <si>
    <t>YES - Current</t>
  </si>
  <si>
    <t>Available</t>
  </si>
  <si>
    <t>NO - Privately-Owned</t>
  </si>
  <si>
    <t>Not used in prior housing element</t>
  </si>
  <si>
    <t>CB</t>
  </si>
  <si>
    <t>CI</t>
  </si>
  <si>
    <t>CD</t>
  </si>
  <si>
    <t>X</t>
  </si>
  <si>
    <t>BL</t>
  </si>
  <si>
    <t>CH</t>
  </si>
  <si>
    <t>CR</t>
  </si>
  <si>
    <t>AE</t>
  </si>
  <si>
    <t>BV</t>
  </si>
  <si>
    <t>S</t>
  </si>
  <si>
    <t>BT</t>
  </si>
  <si>
    <t>BU</t>
  </si>
  <si>
    <t>BX</t>
  </si>
  <si>
    <t>CM</t>
  </si>
  <si>
    <t>Z</t>
  </si>
  <si>
    <t>B</t>
  </si>
  <si>
    <t>CN</t>
  </si>
  <si>
    <t>C</t>
  </si>
  <si>
    <t>BK</t>
  </si>
  <si>
    <t>BM</t>
  </si>
  <si>
    <t>BJ</t>
  </si>
  <si>
    <t>BI</t>
  </si>
  <si>
    <t>BP</t>
  </si>
  <si>
    <t>A</t>
  </si>
  <si>
    <t>CP</t>
  </si>
  <si>
    <t>BY</t>
  </si>
  <si>
    <t>BN</t>
  </si>
  <si>
    <t>V</t>
  </si>
  <si>
    <t>BC</t>
  </si>
  <si>
    <t>CK</t>
  </si>
  <si>
    <t>AG</t>
  </si>
  <si>
    <t>D</t>
  </si>
  <si>
    <t>CO</t>
  </si>
  <si>
    <t>AR</t>
  </si>
  <si>
    <t>BO</t>
  </si>
  <si>
    <t>AH</t>
  </si>
  <si>
    <t>CL</t>
  </si>
  <si>
    <t>E</t>
  </si>
  <si>
    <t>CJ</t>
  </si>
  <si>
    <t>F</t>
  </si>
  <si>
    <t>BZ</t>
  </si>
  <si>
    <t xml:space="preserve">AC </t>
  </si>
  <si>
    <t>G</t>
  </si>
  <si>
    <t>AJ</t>
  </si>
  <si>
    <t>AL</t>
  </si>
  <si>
    <t>AK</t>
  </si>
  <si>
    <t>AZ</t>
  </si>
  <si>
    <t>AX</t>
  </si>
  <si>
    <t>AY</t>
  </si>
  <si>
    <t>AW</t>
  </si>
  <si>
    <t>AV</t>
  </si>
  <si>
    <t>AT</t>
  </si>
  <si>
    <t>AU</t>
  </si>
  <si>
    <t>AN</t>
  </si>
  <si>
    <t>AS</t>
  </si>
  <si>
    <t>AQ</t>
  </si>
  <si>
    <t>AP</t>
  </si>
  <si>
    <t>AD</t>
  </si>
  <si>
    <t>BW</t>
  </si>
  <si>
    <t>BQ</t>
  </si>
  <si>
    <t>BH</t>
  </si>
  <si>
    <t>BA</t>
  </si>
  <si>
    <t>BB</t>
  </si>
  <si>
    <t>BD</t>
  </si>
  <si>
    <t>BE</t>
  </si>
  <si>
    <t>BF</t>
  </si>
  <si>
    <t>Q</t>
  </si>
  <si>
    <t>I</t>
  </si>
  <si>
    <t>T</t>
  </si>
  <si>
    <t>U</t>
  </si>
  <si>
    <t>L</t>
  </si>
  <si>
    <t>M</t>
  </si>
  <si>
    <t>AF</t>
  </si>
  <si>
    <t>P</t>
  </si>
  <si>
    <t>O</t>
  </si>
  <si>
    <t>R</t>
  </si>
  <si>
    <t>W</t>
  </si>
  <si>
    <t>AI</t>
  </si>
  <si>
    <t>CC</t>
  </si>
  <si>
    <t>CF</t>
  </si>
  <si>
    <t>CE</t>
  </si>
  <si>
    <t>CG</t>
  </si>
  <si>
    <t>CA</t>
  </si>
  <si>
    <t>AB</t>
  </si>
  <si>
    <t>AA</t>
  </si>
  <si>
    <t>BS</t>
  </si>
  <si>
    <t>BG</t>
  </si>
  <si>
    <t>AM</t>
  </si>
  <si>
    <t>Y</t>
  </si>
  <si>
    <t>J</t>
  </si>
  <si>
    <t>H</t>
  </si>
  <si>
    <t>Hotel/motel</t>
  </si>
  <si>
    <t>Commercial</t>
  </si>
  <si>
    <t>Vacant</t>
  </si>
  <si>
    <t>IP</t>
  </si>
  <si>
    <t>Educational/institutional/religious</t>
  </si>
  <si>
    <t>Industrial</t>
  </si>
  <si>
    <t>Residential</t>
  </si>
  <si>
    <t>Parking</t>
  </si>
  <si>
    <t>R-1-5</t>
  </si>
  <si>
    <t>DC</t>
  </si>
  <si>
    <t>MS-G</t>
  </si>
  <si>
    <t>TEC</t>
  </si>
  <si>
    <t>DC(PD)</t>
  </si>
  <si>
    <t>A(PD)</t>
  </si>
  <si>
    <t>R-1-8</t>
  </si>
  <si>
    <t>CP(PD)</t>
  </si>
  <si>
    <t>R-M(PD)</t>
  </si>
  <si>
    <t xml:space="preserve">Agricultural/open space </t>
  </si>
  <si>
    <t>PQP</t>
  </si>
  <si>
    <t>DC-NT1</t>
  </si>
  <si>
    <t>Residential permitted pursuant to GP Policy H-2.9</t>
  </si>
  <si>
    <t>single-family home</t>
  </si>
  <si>
    <t xml:space="preserve">vacant commercial </t>
  </si>
  <si>
    <t>office</t>
  </si>
  <si>
    <t>Proposed Rezoning to Mixed Income Housing Overlay</t>
  </si>
  <si>
    <t>vacant urban</t>
  </si>
  <si>
    <t>Proposed Rezoning to Affordable Housing  Overlay</t>
  </si>
  <si>
    <t>Hotel</t>
  </si>
  <si>
    <t>Retail /Auto Shop</t>
  </si>
  <si>
    <t>strip mall with restaurant/personal services</t>
  </si>
  <si>
    <t>restaurant</t>
  </si>
  <si>
    <t>Office</t>
  </si>
  <si>
    <t>Residential permitted pursuant to General Plan Policy IP-5.12</t>
  </si>
  <si>
    <t>offices--personal</t>
  </si>
  <si>
    <t>office-personal services</t>
  </si>
  <si>
    <t>church</t>
  </si>
  <si>
    <t>Office / Dentist</t>
  </si>
  <si>
    <t>Retail, convenience store</t>
  </si>
  <si>
    <t>Gas Station</t>
  </si>
  <si>
    <t>Vacant Lot</t>
  </si>
  <si>
    <t xml:space="preserve">Retail, strip mall </t>
  </si>
  <si>
    <t>vacant lot</t>
  </si>
  <si>
    <t>Residential permitted pursuant to Transit Employment Residential Overlay</t>
  </si>
  <si>
    <t>office/ r&amp;D</t>
  </si>
  <si>
    <t>private community center</t>
  </si>
  <si>
    <t>Retail, Auto Sports Collision</t>
  </si>
  <si>
    <t>Office, Dentist</t>
  </si>
  <si>
    <t>Vacant Lot Residential</t>
  </si>
  <si>
    <t>Preschool</t>
  </si>
  <si>
    <t>Commercial Industrial Building</t>
  </si>
  <si>
    <t>vacant single-family home</t>
  </si>
  <si>
    <t>strip mall with personal services</t>
  </si>
  <si>
    <t>Restaurant</t>
  </si>
  <si>
    <t>water ski shop</t>
  </si>
  <si>
    <t>Retail, Bar</t>
  </si>
  <si>
    <t>Office, insurance services</t>
  </si>
  <si>
    <t>Church</t>
  </si>
  <si>
    <t>Retail, Closed Beauty Salon</t>
  </si>
  <si>
    <t>vacant strip mall</t>
  </si>
  <si>
    <t>parking for Carls Jr</t>
  </si>
  <si>
    <t>Retail, Carls Jr</t>
  </si>
  <si>
    <t>Retail, Restaurant</t>
  </si>
  <si>
    <t>Retail, Footwear &amp; Accessories</t>
  </si>
  <si>
    <t>Offices, Dentist &amp; Medical Center</t>
  </si>
  <si>
    <t>Office, tax services</t>
  </si>
  <si>
    <t>Commerical Industrial Building</t>
  </si>
  <si>
    <t>Office, personal enrichment</t>
  </si>
  <si>
    <t>strip mall</t>
  </si>
  <si>
    <t>Office, Surgeon</t>
  </si>
  <si>
    <t>Office, personal services</t>
  </si>
  <si>
    <t>Retail, Sporting Goods Store</t>
  </si>
  <si>
    <t>Retail, food service</t>
  </si>
  <si>
    <t>grocery store</t>
  </si>
  <si>
    <t>auto body shop</t>
  </si>
  <si>
    <t>Retail, spa shop</t>
  </si>
  <si>
    <t>retail, personal services</t>
  </si>
  <si>
    <t xml:space="preserve">Office, DPR Construction </t>
  </si>
  <si>
    <t>retail</t>
  </si>
  <si>
    <t>Retail,restaurant</t>
  </si>
  <si>
    <t>retail, paint store</t>
  </si>
  <si>
    <t>post-secondary education, vocational</t>
  </si>
  <si>
    <t>Office, Law office</t>
  </si>
  <si>
    <t>Dance Studio</t>
  </si>
  <si>
    <t>Music Instructor</t>
  </si>
  <si>
    <t>Retail, Kitchen &amp; Bath Designer</t>
  </si>
  <si>
    <t>Parking Lot</t>
  </si>
  <si>
    <t>Office, clinic</t>
  </si>
  <si>
    <t>retail paint store</t>
  </si>
  <si>
    <t>strip mall personal services</t>
  </si>
  <si>
    <t>industrial warehouse</t>
  </si>
  <si>
    <t>Retail, music store</t>
  </si>
  <si>
    <t>Retail ,  Paint Store</t>
  </si>
  <si>
    <t>office realty</t>
  </si>
  <si>
    <t>Shopping Center - Goodwill</t>
  </si>
  <si>
    <t xml:space="preserve">Shopping Center </t>
  </si>
  <si>
    <t>Stripmall - liquor store, bar, grocery</t>
  </si>
  <si>
    <t>Auto Sales</t>
  </si>
  <si>
    <t>Strip Mall - restaurants and retail</t>
  </si>
  <si>
    <t>Vacant Restaurant, Single Parcel on relatively big lot</t>
  </si>
  <si>
    <t>Gas Station with Store</t>
  </si>
  <si>
    <t>Lamp Store</t>
  </si>
  <si>
    <t>Office Complex</t>
  </si>
  <si>
    <t>convenience store</t>
  </si>
  <si>
    <t>strip mall, restaurants, conveniene store</t>
  </si>
  <si>
    <t>Office Complex - various medical services</t>
  </si>
  <si>
    <t>restaurant, auto services</t>
  </si>
  <si>
    <t>Stripmall</t>
  </si>
  <si>
    <t xml:space="preserve">Liquor Store </t>
  </si>
  <si>
    <t>salon</t>
  </si>
  <si>
    <t xml:space="preserve">Convenience store </t>
  </si>
  <si>
    <t>auto services</t>
  </si>
  <si>
    <t>autosales</t>
  </si>
  <si>
    <t>auto accessories</t>
  </si>
  <si>
    <t>bookstore</t>
  </si>
  <si>
    <t>various offices</t>
  </si>
  <si>
    <t>Small shopping complex</t>
  </si>
  <si>
    <t xml:space="preserve">Bank </t>
  </si>
  <si>
    <t>bank</t>
  </si>
  <si>
    <t xml:space="preserve">Sporting Goods Store </t>
  </si>
  <si>
    <t>surface parking lot</t>
  </si>
  <si>
    <t xml:space="preserve">vacant restaurant   </t>
  </si>
  <si>
    <t xml:space="preserve">Stripmall </t>
  </si>
  <si>
    <t>Gym/Health services and other office</t>
  </si>
  <si>
    <t xml:space="preserve">Strip mall, personal services, offices </t>
  </si>
  <si>
    <t>goodwill retail</t>
  </si>
  <si>
    <t>Medical offices/services</t>
  </si>
  <si>
    <t xml:space="preserve">Retail, services </t>
  </si>
  <si>
    <t>Retail, services</t>
  </si>
  <si>
    <t xml:space="preserve">Retail </t>
  </si>
  <si>
    <t>hardware, personal services</t>
  </si>
  <si>
    <t xml:space="preserve">Offices in Stripmall </t>
  </si>
  <si>
    <t>Education services, multiple businesses</t>
  </si>
  <si>
    <t>Ski store</t>
  </si>
  <si>
    <t xml:space="preserve">Strip mall </t>
  </si>
  <si>
    <t xml:space="preserve">Single story offices </t>
  </si>
  <si>
    <t xml:space="preserve">Office </t>
  </si>
  <si>
    <t xml:space="preserve"> medical services/offices</t>
  </si>
  <si>
    <t xml:space="preserve">convenience store </t>
  </si>
  <si>
    <t xml:space="preserve">stripmall </t>
  </si>
  <si>
    <t>offices/ medical services</t>
  </si>
  <si>
    <t xml:space="preserve"> auto services/retailers</t>
  </si>
  <si>
    <t xml:space="preserve">offices </t>
  </si>
  <si>
    <t>Dog Kennel</t>
  </si>
  <si>
    <t>Medical services</t>
  </si>
  <si>
    <t>Family Farm</t>
  </si>
  <si>
    <t>Office compplex</t>
  </si>
  <si>
    <t>Gas Station with auto services</t>
  </si>
  <si>
    <t>enrichment, personal</t>
  </si>
  <si>
    <t>offices, retail</t>
  </si>
  <si>
    <t>private gathering/community center</t>
  </si>
  <si>
    <t>auto repair/services</t>
  </si>
  <si>
    <t xml:space="preserve">Strip mall with offices, retail - </t>
  </si>
  <si>
    <t xml:space="preserve"> Bank, Security Services, Bail bonds</t>
  </si>
  <si>
    <t>Truck Repair</t>
  </si>
  <si>
    <t>Car Repair</t>
  </si>
  <si>
    <t>services, security</t>
  </si>
  <si>
    <t>Vacant retail and seafood wholesale</t>
  </si>
  <si>
    <t>VTA Light Rail Parking Lot</t>
  </si>
  <si>
    <t>Automotive Repair</t>
  </si>
  <si>
    <t>Vacant Site</t>
  </si>
  <si>
    <t>Plumbing repair</t>
  </si>
  <si>
    <t>Warehouse</t>
  </si>
  <si>
    <t>Landscape yard</t>
  </si>
  <si>
    <t>Empty Retail Space</t>
  </si>
  <si>
    <t xml:space="preserve">Empty Retail Space </t>
  </si>
  <si>
    <t>Retail Use</t>
  </si>
  <si>
    <t>Auto Repair</t>
  </si>
  <si>
    <t xml:space="preserve">vacant retail   </t>
  </si>
  <si>
    <t>vacant retail</t>
  </si>
  <si>
    <t>Auto Parts Store</t>
  </si>
  <si>
    <t>Tire Repair</t>
  </si>
  <si>
    <t>single family home</t>
  </si>
  <si>
    <t>Duplex</t>
  </si>
  <si>
    <t>Vacant Lot or Parking</t>
  </si>
  <si>
    <t>Small offices</t>
  </si>
  <si>
    <t>Small Offices</t>
  </si>
  <si>
    <t xml:space="preserve">liquor store   </t>
  </si>
  <si>
    <t>Auto Repair, Dental Lab</t>
  </si>
  <si>
    <t>Auto and truck repair</t>
  </si>
  <si>
    <t>office, construction company</t>
  </si>
  <si>
    <t>stripmall personal services, restaurant</t>
  </si>
  <si>
    <t>social services</t>
  </si>
  <si>
    <t>strip mall, personal services, restaurants</t>
  </si>
  <si>
    <t>Gas stations</t>
  </si>
  <si>
    <t>duplex</t>
  </si>
  <si>
    <t>strip mall personal services, restaurant</t>
  </si>
  <si>
    <t>Plumbing &amp; auto repair</t>
  </si>
  <si>
    <t>Repair services</t>
  </si>
  <si>
    <t>vacant warehouse</t>
  </si>
  <si>
    <t>Retail</t>
  </si>
  <si>
    <t>Auto parts store</t>
  </si>
  <si>
    <t>Pawn Shop</t>
  </si>
  <si>
    <t>Auto Body Shop</t>
  </si>
  <si>
    <t>gym</t>
  </si>
  <si>
    <t>vacant</t>
  </si>
  <si>
    <t>Auto Parts</t>
  </si>
  <si>
    <t>autodealer</t>
  </si>
  <si>
    <t>medical offices</t>
  </si>
  <si>
    <t xml:space="preserve"> Auto Body</t>
  </si>
  <si>
    <t>retail, home improvement</t>
  </si>
  <si>
    <t>auto repair</t>
  </si>
  <si>
    <t>bar</t>
  </si>
  <si>
    <t>home improvement/services</t>
  </si>
  <si>
    <t>strip mall, restaurants, personal services</t>
  </si>
  <si>
    <t>Monarch Truck Center - Truck dealer</t>
  </si>
  <si>
    <t>security services</t>
  </si>
  <si>
    <t>retail--pottery store</t>
  </si>
  <si>
    <t>church, offices</t>
  </si>
  <si>
    <t>restaurants</t>
  </si>
  <si>
    <t>Vacant Building</t>
  </si>
  <si>
    <t>child care center</t>
  </si>
  <si>
    <t>Mortuary;</t>
  </si>
  <si>
    <t>auto body retailers</t>
  </si>
  <si>
    <t>Convenience Store</t>
  </si>
  <si>
    <t>strip mall, personal services, restaurants, retail</t>
  </si>
  <si>
    <t xml:space="preserve"> Restaurant</t>
  </si>
  <si>
    <t>Tire Shop/ Truck Rental Agency</t>
  </si>
  <si>
    <t xml:space="preserve"> Telecommunications equipment supplier</t>
  </si>
  <si>
    <t xml:space="preserve"> Ice Cream Shop</t>
  </si>
  <si>
    <t>liquor store</t>
  </si>
  <si>
    <t>computer repair</t>
  </si>
  <si>
    <t xml:space="preserve"> Private University</t>
  </si>
  <si>
    <t>R&amp;D/Manufacturing</t>
  </si>
  <si>
    <t>restaurant/personal services</t>
  </si>
  <si>
    <t>Offices/personal services/medical services</t>
  </si>
  <si>
    <t xml:space="preserve"> Medical and Equipment Supply Medical Supply Store, Mattress store</t>
  </si>
  <si>
    <t>Office/R&amp;D</t>
  </si>
  <si>
    <t>Commercial/Industrial/ R&amp;D</t>
  </si>
  <si>
    <t>Strip mall-nail salon, liqur store, etc</t>
  </si>
  <si>
    <t>strip mall- donuts, flowers</t>
  </si>
  <si>
    <t>healthcare center</t>
  </si>
  <si>
    <t>tiny homes/vacant</t>
  </si>
  <si>
    <t>Storage yard</t>
  </si>
  <si>
    <t>Strip mall-nails, autobody uses</t>
  </si>
  <si>
    <t>Monarch Truck Center - parking lot</t>
  </si>
  <si>
    <t>VTA parking lot</t>
  </si>
  <si>
    <t>vacant parking lot</t>
  </si>
  <si>
    <t>394 s. 2nd st; vacant commercial</t>
  </si>
  <si>
    <t>vta parking lot</t>
  </si>
  <si>
    <t>surface parking for auto repair</t>
  </si>
  <si>
    <t>self-storage</t>
  </si>
  <si>
    <t>surface parking</t>
  </si>
  <si>
    <t xml:space="preserve">single-family home; </t>
  </si>
  <si>
    <t>car dealer</t>
  </si>
  <si>
    <t>parking for trucking business</t>
  </si>
  <si>
    <t xml:space="preserve">surface parking lot; </t>
  </si>
  <si>
    <t>auto body uses</t>
  </si>
  <si>
    <t xml:space="preserve"> sj water utilities</t>
  </si>
  <si>
    <t>utilities-water company</t>
  </si>
  <si>
    <t>interim housing/vacant</t>
  </si>
  <si>
    <t xml:space="preserve">vacant urban; </t>
  </si>
  <si>
    <t>Optional Information1</t>
  </si>
  <si>
    <t>Optional Information2</t>
  </si>
  <si>
    <t>79 N. 17th Street</t>
  </si>
  <si>
    <t>vacant restaurant</t>
  </si>
  <si>
    <t>vacant industrial building</t>
  </si>
  <si>
    <t>auto related use</t>
  </si>
  <si>
    <t>medical office</t>
  </si>
  <si>
    <t xml:space="preserve">small personal services </t>
  </si>
  <si>
    <t>gas station</t>
  </si>
  <si>
    <t>Surface parking</t>
  </si>
  <si>
    <t>industrial yard</t>
  </si>
  <si>
    <t>motel</t>
  </si>
  <si>
    <t>vacant building</t>
  </si>
  <si>
    <t>upholstery business</t>
  </si>
  <si>
    <t>used car dealership</t>
  </si>
  <si>
    <t>strip mall restaurants, personal services</t>
  </si>
  <si>
    <t>CS</t>
  </si>
  <si>
    <t>Minimum Density</t>
  </si>
  <si>
    <t>Maximum Density</t>
  </si>
  <si>
    <t>YES - City-Owned</t>
  </si>
  <si>
    <t>YES - Special District-Owned</t>
  </si>
  <si>
    <t>Used in Prior Housing Element - Non-Vacant</t>
  </si>
  <si>
    <t>Table B: Candidate Sites Identified to be Rezoned to Accommodate Shortfall Housing Need, Table Starts in Cell A2</t>
  </si>
  <si>
    <t>Jurisdiction Name</t>
  </si>
  <si>
    <t>Site Address/Intersection</t>
  </si>
  <si>
    <t>5 Digit ZIP Code</t>
  </si>
  <si>
    <t>Assessor Parcel Number</t>
  </si>
  <si>
    <t>Very Low-Income</t>
  </si>
  <si>
    <t>Low-Income</t>
  </si>
  <si>
    <t>Moderate-Income</t>
  </si>
  <si>
    <t>Above Moderate-Income</t>
  </si>
  <si>
    <t xml:space="preserve">Type of Shortfall
</t>
  </si>
  <si>
    <t>Parcel Size
(Acres)</t>
  </si>
  <si>
    <t>Current General Plan Designation</t>
  </si>
  <si>
    <t>Current Zoning</t>
  </si>
  <si>
    <t>Proposed General Plan (GP) Designation</t>
  </si>
  <si>
    <t>Proposed Zoning</t>
  </si>
  <si>
    <t xml:space="preserve">Minimum Density Allowed </t>
  </si>
  <si>
    <t>Maximum Density Allowed</t>
  </si>
  <si>
    <t>Vacant/
Nonvacant</t>
  </si>
  <si>
    <t>Description of Existing Uses</t>
  </si>
  <si>
    <t>SAN JOSE</t>
  </si>
  <si>
    <t>Shortfall of Sites</t>
  </si>
  <si>
    <t>Industrial Park with AHOZ overlay</t>
  </si>
  <si>
    <t>TERO</t>
  </si>
  <si>
    <t>Nonvacant</t>
  </si>
  <si>
    <t>240 Baypointe Pkwy, San Jose, CA</t>
  </si>
  <si>
    <t>255 Baypointe Pkwy, San Jose, CA</t>
  </si>
  <si>
    <t>111 Baypointe Pkwy, San Jose, CA</t>
  </si>
  <si>
    <t>4001 N 1st St, San Jose, CA</t>
  </si>
  <si>
    <t>Commercial General</t>
  </si>
  <si>
    <t>Urban Village with AHOZ overlay</t>
  </si>
  <si>
    <t>1550 N 1st St, San Jose, CA</t>
  </si>
  <si>
    <t>Motel</t>
  </si>
  <si>
    <t>1490 N 1st St, San Jose, CA</t>
  </si>
  <si>
    <t>Commercial Neighborhood</t>
  </si>
  <si>
    <t>3939 N 1st St, San Jose, CA</t>
  </si>
  <si>
    <t>Industrial Park with MIHOZ overlay</t>
  </si>
  <si>
    <t>3331 N 1st St, San Jose, CA</t>
  </si>
  <si>
    <t>3550 N 1st St, San Jose, CA</t>
  </si>
  <si>
    <t>2347 N 1st St, San Jose, CA</t>
  </si>
  <si>
    <t>Industrial Park (Planned Development)</t>
  </si>
  <si>
    <t>Transit Employment Center with MIHOZ overlay</t>
  </si>
  <si>
    <t>101 Daggett Dr, San Jose, CA</t>
  </si>
  <si>
    <t>2865 Zanker Rd, San Jose, CA</t>
  </si>
  <si>
    <t>3011 N 1st St, San Jose, CA</t>
  </si>
  <si>
    <t>3003 N 1st St, San Jose, CA</t>
  </si>
  <si>
    <t>Agriculture (Planned Development)</t>
  </si>
  <si>
    <t>2904 Orchard Pkwy, San Jose, CA</t>
  </si>
  <si>
    <t>3000 Orchard Pkwy, San Jose, CA</t>
  </si>
  <si>
    <t>2820 Orchard Pkwy, San Jose, CA</t>
  </si>
  <si>
    <t>2825 N 1st St, San Jose, CA</t>
  </si>
  <si>
    <t>3 W Plumeria Dr, San Jose, CA</t>
  </si>
  <si>
    <r>
      <t xml:space="preserve">Zoning Designation
</t>
    </r>
    <r>
      <rPr>
        <b/>
        <sz val="10"/>
        <color theme="0"/>
        <rFont val="arial"/>
        <family val="2"/>
      </rPr>
      <t>From Table A, Column G                                             and Table B, Columns L and N                       (e.g., "R-1")</t>
    </r>
  </si>
  <si>
    <r>
      <t xml:space="preserve">General Land Uses Allowed                                               </t>
    </r>
    <r>
      <rPr>
        <b/>
        <sz val="10"/>
        <color theme="0"/>
        <rFont val="arial"/>
        <family val="2"/>
      </rPr>
      <t xml:space="preserve"> (e.g., "Low-density residential")</t>
    </r>
  </si>
  <si>
    <t>IP(PD)</t>
  </si>
  <si>
    <t>planned development zoning with base IP uses</t>
  </si>
  <si>
    <t xml:space="preserve">CP </t>
  </si>
  <si>
    <t>commercial, office, mixed-use residential; https://library.municode.com/ca/san_jose/codes/code_of_ordinances?nodeId=TIT20ZO_CH20.40COZODIPUQUBLZODI_PT2USAL_20.40.100ALUSPERE</t>
  </si>
  <si>
    <t xml:space="preserve">CG </t>
  </si>
  <si>
    <t>commercial, office; https://library.municode.com/ca/san_jose/codes/code_of_ordinances?nodeId=TIT20ZO_CH20.40COZODIPUQUBLZODI_PT2USAL_20.40.100ALUSPERE</t>
  </si>
  <si>
    <t>office, residential, mixed use, commercial, entertainment; https://library.municode.com/ca/san_jose/codes/code_of_ordinances?nodeId=TIT20ZO_CH20.70DOZORE_PT2USAL_20.70.100ALUSPERE</t>
  </si>
  <si>
    <t>office, residential, mixed use, commercial, entertainment, pubilc gathering; https://library.municode.com/ca/san_jose/codes/code_of_ordinances?nodeId=TIT20ZO_CH20.75PEORZODI_PT3USRE_20.75.200ALUSPERE</t>
  </si>
  <si>
    <t>HI</t>
  </si>
  <si>
    <t>heavy manufacturing, service yards, industrial uses; https://library.municode.com/ca/san_jose/codes/code_of_ordinances?nodeId=TIT20ZO_CH20.50INZODI_PT2USAL_20.50.100ALUSPERE</t>
  </si>
  <si>
    <t xml:space="preserve">IP </t>
  </si>
  <si>
    <t>office/industrial, research &amp; development, assembly; https://library.municode.com/ca/san_jose/codes/code_of_ordinances?nodeId=TIT20ZO_CH20.50INZODI_PT2USAL_20.50.100ALUSPERE</t>
  </si>
  <si>
    <t>LI</t>
  </si>
  <si>
    <t>warehousing, wholesale, light manufacturing; https://library.municode.com/ca/san_jose/codes/code_of_ordinances?nodeId=TIT20ZO_CH20.50INZODI_PT2USAL_20.50.100ALUSPERE</t>
  </si>
  <si>
    <t>agriculture, single-family; https://library.municode.com/ca/san_jose/codes/code_of_ordinances?nodeId=TIT20ZO_CH20.20OPSPAGZODI_PT2USRE_20.20.100ALUSPERE</t>
  </si>
  <si>
    <t>permanent supportive housing, homeless shelters, schools, churches, community gathering; https://library.municode.com/ca/san_jose/codes/code_of_ordinances?nodeId=TIT20ZO_CH20.40COZODIPUQUBLZODI_PT2USAL_20.40.100ALUSPERE</t>
  </si>
  <si>
    <t>R-1-1</t>
  </si>
  <si>
    <t>low-density residential; https://library.municode.com/ca/san_jose/codes/code_of_ordinances?nodeId=TIT20ZO_CH20.30REZODI_PT2USAL_20.30.100ALUSPERE</t>
  </si>
  <si>
    <t>single-family residential;https://library.municode.com/ca/san_jose/codes/code_of_ordinances?nodeId=TIT20ZO_CH20.30REZODI_PT2USAL_20.30.100ALUSPERE</t>
  </si>
  <si>
    <t>low density residential; https://library.municode.com/ca/san_jose/codes/code_of_ordinances?nodeId=TIT20ZO_CH20.30REZODI_PT2USAL_20.30.100ALUSPERE</t>
  </si>
  <si>
    <t>R-2</t>
  </si>
  <si>
    <t>single-family residential, duplexes; https://library.municode.com/ca/san_jose/codes/code_of_ordinances?nodeId=TIT20ZO_CH20.30REZODI_PT2USAL_20.30.100ALUSPERE</t>
  </si>
  <si>
    <t>R-M</t>
  </si>
  <si>
    <t>multi-family residential; https://library.municode.com/ca/san_jose/codes/code_of_ordinances?nodeId=TIT20ZO_CH20.30REZODI_PT2USAL_20.30.100ALUSPERE</t>
  </si>
  <si>
    <t>planned development zoning with base CP uses</t>
  </si>
  <si>
    <t>CN(PD)</t>
  </si>
  <si>
    <t>planned development zoning with base CN uses</t>
  </si>
  <si>
    <t>planned development zoning with base DC uses</t>
  </si>
  <si>
    <t>planned development zoning with base A uses</t>
  </si>
  <si>
    <t>single-family, duplexes, multi-family, mixed use residential; https://library.municode.com/ca/san_jose/codes/code_of_ordinances?nodeId=TIT20ZO_CH20.55URVIMIUSZODI_PT3USAL_20.55.200ALUSPERE</t>
  </si>
  <si>
    <t xml:space="preserve">CG  </t>
  </si>
  <si>
    <t xml:space="preserve">R-M </t>
  </si>
  <si>
    <t>Industrial Park with MIHO overlay</t>
  </si>
  <si>
    <t xml:space="preserve">AHO </t>
  </si>
  <si>
    <t xml:space="preserve">MHO </t>
  </si>
  <si>
    <t>AHO</t>
  </si>
  <si>
    <t>residential</t>
  </si>
  <si>
    <t>no change</t>
  </si>
  <si>
    <t>No change</t>
  </si>
  <si>
    <t>nonvacant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</si>
</sst>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
      <color theme="1"/>
      <name val="Calibri"/>
      <family val="2"/>
      <scheme val="minor"/>
    </font>
    <font>
      <b/>
      <sz val="13"/>
      <name val="Calibri"/>
      <family val="2"/>
      <scheme val="minor"/>
    </font>
    <font>
      <sz val="12"/>
      <color theme="1"/>
      <name val="Arial"/>
      <family val="2"/>
    </font>
    <font>
      <b/>
      <sz val="12"/>
      <color theme="0"/>
      <name val="Arial"/>
      <family val="2"/>
    </font>
    <font>
      <sz val="12"/>
      <color theme="1"/>
      <name val="Calibri"/>
      <family val="2"/>
      <scheme val="minor"/>
    </font>
    <font>
      <b/>
      <sz val="10"/>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3"/>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theme="4" tint="0.3999755851924192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theme="4" tint="0.39997558519241921"/>
      </bottom>
      <diagonal/>
    </border>
    <border>
      <left/>
      <right style="thin">
        <color indexed="64"/>
      </right>
      <top style="thin">
        <color theme="4" tint="0.39997558519241921"/>
      </top>
      <bottom style="thin">
        <color indexed="64"/>
      </bottom>
      <diagonal/>
    </border>
    <border>
      <left style="thin">
        <color indexed="64"/>
      </left>
      <right/>
      <top style="thin">
        <color theme="4" tint="0.39997558519241921"/>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0">
    <xf numFmtId="0" fontId="0" fillId="0" borderId="0" xfId="0"/>
    <xf numFmtId="0" fontId="18" fillId="33" borderId="10" xfId="0" applyFont="1" applyFill="1" applyBorder="1" applyAlignment="1">
      <alignment wrapText="1"/>
    </xf>
    <xf numFmtId="2" fontId="18" fillId="33" borderId="10" xfId="0" applyNumberFormat="1" applyFont="1" applyFill="1" applyBorder="1" applyAlignment="1">
      <alignment wrapText="1"/>
    </xf>
    <xf numFmtId="0" fontId="19" fillId="33" borderId="10" xfId="0" applyFont="1" applyFill="1" applyBorder="1" applyAlignment="1">
      <alignment wrapText="1"/>
    </xf>
    <xf numFmtId="0" fontId="18" fillId="0" borderId="0" xfId="0" applyFont="1" applyAlignment="1">
      <alignment wrapText="1"/>
    </xf>
    <xf numFmtId="0" fontId="0" fillId="0" borderId="10" xfId="0" applyBorder="1"/>
    <xf numFmtId="0" fontId="20" fillId="34" borderId="11" xfId="0" applyFont="1" applyFill="1" applyBorder="1"/>
    <xf numFmtId="0" fontId="20" fillId="0" borderId="11" xfId="0" applyFont="1" applyBorder="1"/>
    <xf numFmtId="0" fontId="0" fillId="0" borderId="0" xfId="0" applyAlignment="1">
      <alignment wrapText="1"/>
    </xf>
    <xf numFmtId="0" fontId="21" fillId="35" borderId="10" xfId="0" applyFont="1" applyFill="1" applyBorder="1" applyAlignment="1" applyProtection="1">
      <alignment horizontal="center" vertical="center" wrapText="1"/>
      <protection locked="0"/>
    </xf>
    <xf numFmtId="0" fontId="21" fillId="35" borderId="10" xfId="0"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4" xfId="0" applyFont="1" applyFill="1" applyBorder="1" applyAlignment="1">
      <alignment horizontal="center" vertical="center" wrapText="1"/>
    </xf>
    <xf numFmtId="0" fontId="20" fillId="34" borderId="15" xfId="0" applyFont="1" applyFill="1" applyBorder="1"/>
    <xf numFmtId="0" fontId="20" fillId="34" borderId="16" xfId="0" applyFont="1" applyFill="1" applyBorder="1"/>
    <xf numFmtId="0" fontId="22" fillId="34" borderId="11" xfId="0" applyFont="1" applyFill="1" applyBorder="1"/>
    <xf numFmtId="0" fontId="20" fillId="0" borderId="15" xfId="0" applyFont="1" applyBorder="1"/>
    <xf numFmtId="0" fontId="20" fillId="0" borderId="16" xfId="0" applyFont="1" applyBorder="1"/>
    <xf numFmtId="0" fontId="22" fillId="0" borderId="11" xfId="0" applyFont="1" applyBorder="1"/>
    <xf numFmtId="0" fontId="22" fillId="0" borderId="10" xfId="0" applyFont="1" applyBorder="1"/>
    <xf numFmtId="0" fontId="22" fillId="34" borderId="10" xfId="0" applyFont="1" applyFill="1" applyBorder="1"/>
    <xf numFmtId="0" fontId="0" fillId="0" borderId="10" xfId="0" applyBorder="1" applyAlignment="1">
      <alignment vertical="center"/>
    </xf>
    <xf numFmtId="2" fontId="0" fillId="0" borderId="10" xfId="0" applyNumberFormat="1" applyBorder="1"/>
    <xf numFmtId="0" fontId="0" fillId="0" borderId="10" xfId="0" applyBorder="1" applyAlignment="1">
      <alignment vertical="center" wrapText="1"/>
    </xf>
    <xf numFmtId="1" fontId="0" fillId="0" borderId="10" xfId="0" applyNumberFormat="1" applyBorder="1"/>
    <xf numFmtId="0" fontId="0" fillId="0" borderId="10" xfId="0" applyFill="1" applyBorder="1" applyAlignment="1">
      <alignment vertical="center" wrapText="1"/>
    </xf>
    <xf numFmtId="0" fontId="0" fillId="0" borderId="10" xfId="0" applyFill="1" applyBorder="1"/>
    <xf numFmtId="0" fontId="0" fillId="0" borderId="10" xfId="0" applyFill="1" applyBorder="1" applyAlignment="1">
      <alignment vertical="center"/>
    </xf>
    <xf numFmtId="0" fontId="0" fillId="0" borderId="10"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41E3-E3CC-4F7A-9F66-E1FA2C1358D8}">
  <dimension ref="A1:V485"/>
  <sheetViews>
    <sheetView tabSelected="1" topLeftCell="A13" zoomScale="80" zoomScaleNormal="80" workbookViewId="0">
      <selection activeCell="U5" sqref="U5"/>
    </sheetView>
  </sheetViews>
  <sheetFormatPr defaultRowHeight="14.4" x14ac:dyDescent="0.3"/>
  <cols>
    <col min="2" max="2" width="41.88671875" bestFit="1" customWidth="1"/>
    <col min="3" max="3" width="10" customWidth="1"/>
    <col min="4" max="4" width="13.44140625" customWidth="1"/>
    <col min="5" max="5" width="21.21875" customWidth="1"/>
    <col min="6" max="6" width="29" customWidth="1"/>
    <col min="7" max="7" width="20.21875" customWidth="1"/>
    <col min="8" max="8" width="14.5546875" customWidth="1"/>
    <col min="9" max="9" width="15.109375" customWidth="1"/>
    <col min="10" max="10" width="13.44140625" customWidth="1"/>
    <col min="11" max="11" width="38.33203125" customWidth="1"/>
    <col min="12" max="12" width="27.33203125" hidden="1" customWidth="1"/>
    <col min="13" max="13" width="28.33203125" hidden="1" customWidth="1"/>
    <col min="14" max="14" width="17.5546875" hidden="1" customWidth="1"/>
    <col min="15" max="15" width="33.44140625" customWidth="1"/>
    <col min="16" max="18" width="14.88671875" customWidth="1"/>
    <col min="19" max="19" width="21.5546875" customWidth="1"/>
    <col min="20" max="20" width="14.88671875" customWidth="1"/>
    <col min="21" max="21" width="56.44140625" style="8" customWidth="1"/>
    <col min="22" max="22" width="70.88671875" bestFit="1" customWidth="1"/>
  </cols>
  <sheetData>
    <row r="1" spans="1:22" s="4" customFormat="1" ht="69.599999999999994" x14ac:dyDescent="0.35">
      <c r="A1" s="1" t="s">
        <v>443</v>
      </c>
      <c r="B1" s="1" t="s">
        <v>0</v>
      </c>
      <c r="C1" s="1" t="s">
        <v>1</v>
      </c>
      <c r="D1" s="1" t="s">
        <v>444</v>
      </c>
      <c r="E1" s="1" t="s">
        <v>445</v>
      </c>
      <c r="F1" s="1" t="s">
        <v>2</v>
      </c>
      <c r="G1" s="1" t="s">
        <v>3</v>
      </c>
      <c r="H1" s="1" t="s">
        <v>843</v>
      </c>
      <c r="I1" s="1" t="s">
        <v>844</v>
      </c>
      <c r="J1" s="2" t="s">
        <v>446</v>
      </c>
      <c r="K1" s="3" t="s">
        <v>447</v>
      </c>
      <c r="L1" s="1" t="s">
        <v>448</v>
      </c>
      <c r="M1" s="1" t="s">
        <v>449</v>
      </c>
      <c r="N1" s="1" t="s">
        <v>450</v>
      </c>
      <c r="O1" s="1" t="s">
        <v>451</v>
      </c>
      <c r="P1" s="1" t="s">
        <v>452</v>
      </c>
      <c r="Q1" s="1" t="s">
        <v>453</v>
      </c>
      <c r="R1" s="1" t="s">
        <v>454</v>
      </c>
      <c r="S1" s="1" t="s">
        <v>455</v>
      </c>
      <c r="T1" s="1" t="s">
        <v>456</v>
      </c>
      <c r="U1" s="1" t="s">
        <v>826</v>
      </c>
      <c r="V1" s="1" t="s">
        <v>827</v>
      </c>
    </row>
    <row r="2" spans="1:22" x14ac:dyDescent="0.3">
      <c r="A2" s="5">
        <v>1</v>
      </c>
      <c r="B2" s="5" t="s">
        <v>121</v>
      </c>
      <c r="C2" s="5">
        <v>95128</v>
      </c>
      <c r="D2" s="5" t="str">
        <f>"282-29-005"</f>
        <v>282-29-005</v>
      </c>
      <c r="E2" s="5" t="s">
        <v>504</v>
      </c>
      <c r="F2" s="5" t="s">
        <v>9</v>
      </c>
      <c r="G2" s="22" t="s">
        <v>18</v>
      </c>
      <c r="H2" s="22">
        <v>0</v>
      </c>
      <c r="I2" s="5">
        <v>150</v>
      </c>
      <c r="J2" s="23">
        <v>0.55098976097989805</v>
      </c>
      <c r="K2" s="22" t="s">
        <v>576</v>
      </c>
      <c r="L2" s="5" t="s">
        <v>480</v>
      </c>
      <c r="M2" s="5" t="s">
        <v>482</v>
      </c>
      <c r="N2" s="5" t="s">
        <v>481</v>
      </c>
      <c r="O2" s="5" t="s">
        <v>483</v>
      </c>
      <c r="P2" s="5">
        <v>0</v>
      </c>
      <c r="Q2" s="5">
        <v>39</v>
      </c>
      <c r="R2" s="5">
        <v>0</v>
      </c>
      <c r="S2" s="5" t="s">
        <v>21</v>
      </c>
      <c r="T2" s="5">
        <v>39</v>
      </c>
      <c r="U2" s="24"/>
      <c r="V2" s="5" t="s">
        <v>665</v>
      </c>
    </row>
    <row r="3" spans="1:22" x14ac:dyDescent="0.3">
      <c r="A3" s="5">
        <v>2</v>
      </c>
      <c r="B3" s="5" t="s">
        <v>179</v>
      </c>
      <c r="C3" s="5">
        <v>95112</v>
      </c>
      <c r="D3" s="5" t="str">
        <f>"235-07-064"</f>
        <v>235-07-064</v>
      </c>
      <c r="E3" s="5"/>
      <c r="F3" s="5" t="s">
        <v>50</v>
      </c>
      <c r="G3" s="22" t="s">
        <v>96</v>
      </c>
      <c r="H3" s="22">
        <v>30</v>
      </c>
      <c r="I3" s="5">
        <v>95</v>
      </c>
      <c r="J3" s="23">
        <v>0.69610650657250805</v>
      </c>
      <c r="K3" s="22" t="s">
        <v>576</v>
      </c>
      <c r="L3" s="5" t="s">
        <v>480</v>
      </c>
      <c r="M3" s="5" t="s">
        <v>482</v>
      </c>
      <c r="N3" s="5" t="s">
        <v>481</v>
      </c>
      <c r="O3" s="5" t="s">
        <v>483</v>
      </c>
      <c r="P3" s="5">
        <v>0</v>
      </c>
      <c r="Q3" s="5">
        <v>0</v>
      </c>
      <c r="R3" s="5">
        <v>42</v>
      </c>
      <c r="S3" s="5" t="s">
        <v>26</v>
      </c>
      <c r="T3" s="5">
        <v>42</v>
      </c>
      <c r="U3" s="24"/>
      <c r="V3" s="5" t="s">
        <v>681</v>
      </c>
    </row>
    <row r="4" spans="1:22" ht="28.8" x14ac:dyDescent="0.3">
      <c r="A4" s="5">
        <v>3</v>
      </c>
      <c r="B4" s="5" t="s">
        <v>412</v>
      </c>
      <c r="C4" s="5">
        <v>95134</v>
      </c>
      <c r="D4" s="5" t="str">
        <f>"097-54-020"</f>
        <v>097-54-020</v>
      </c>
      <c r="E4" s="5"/>
      <c r="F4" s="5" t="s">
        <v>46</v>
      </c>
      <c r="G4" s="22" t="s">
        <v>578</v>
      </c>
      <c r="H4" s="22">
        <v>0</v>
      </c>
      <c r="I4" s="5">
        <v>0</v>
      </c>
      <c r="J4" s="23">
        <v>5.5890324137712204</v>
      </c>
      <c r="K4" s="22" t="s">
        <v>576</v>
      </c>
      <c r="L4" s="5" t="s">
        <v>480</v>
      </c>
      <c r="M4" s="5" t="s">
        <v>482</v>
      </c>
      <c r="N4" s="5" t="s">
        <v>481</v>
      </c>
      <c r="O4" s="5" t="s">
        <v>483</v>
      </c>
      <c r="P4" s="5">
        <v>0</v>
      </c>
      <c r="Q4" s="5">
        <v>0</v>
      </c>
      <c r="R4" s="5">
        <v>342</v>
      </c>
      <c r="S4" s="5" t="s">
        <v>26</v>
      </c>
      <c r="T4" s="5">
        <v>342</v>
      </c>
      <c r="U4" s="26" t="s">
        <v>617</v>
      </c>
      <c r="V4" s="5" t="s">
        <v>598</v>
      </c>
    </row>
    <row r="5" spans="1:22" x14ac:dyDescent="0.3">
      <c r="A5" s="5">
        <v>4</v>
      </c>
      <c r="B5" s="5" t="s">
        <v>78</v>
      </c>
      <c r="C5" s="5">
        <v>95116</v>
      </c>
      <c r="D5" s="5" t="str">
        <f>"467-33-004"</f>
        <v>467-33-004</v>
      </c>
      <c r="E5" s="5"/>
      <c r="F5" s="5" t="s">
        <v>9</v>
      </c>
      <c r="G5" s="22" t="s">
        <v>590</v>
      </c>
      <c r="H5" s="22">
        <v>0</v>
      </c>
      <c r="I5" s="5">
        <v>250</v>
      </c>
      <c r="J5" s="23">
        <v>0.25162596649181501</v>
      </c>
      <c r="K5" s="22" t="s">
        <v>576</v>
      </c>
      <c r="L5" s="5" t="s">
        <v>480</v>
      </c>
      <c r="M5" s="5" t="s">
        <v>482</v>
      </c>
      <c r="N5" s="5" t="s">
        <v>481</v>
      </c>
      <c r="O5" s="5" t="s">
        <v>483</v>
      </c>
      <c r="P5" s="5">
        <v>0</v>
      </c>
      <c r="Q5" s="5">
        <v>0</v>
      </c>
      <c r="R5" s="5">
        <v>16</v>
      </c>
      <c r="S5" s="5" t="s">
        <v>26</v>
      </c>
      <c r="T5" s="5">
        <v>16</v>
      </c>
      <c r="U5" s="24"/>
      <c r="V5" s="5" t="s">
        <v>840</v>
      </c>
    </row>
    <row r="6" spans="1:22" x14ac:dyDescent="0.3">
      <c r="A6" s="5">
        <v>5</v>
      </c>
      <c r="B6" s="5" t="s">
        <v>302</v>
      </c>
      <c r="C6" s="5">
        <v>95128</v>
      </c>
      <c r="D6" s="5" t="str">
        <f>"274-15-112"</f>
        <v>274-15-112</v>
      </c>
      <c r="E6" s="5"/>
      <c r="F6" s="5" t="s">
        <v>29</v>
      </c>
      <c r="G6" s="22" t="s">
        <v>37</v>
      </c>
      <c r="H6" s="22">
        <v>0</v>
      </c>
      <c r="I6" s="5">
        <v>50</v>
      </c>
      <c r="J6" s="23">
        <v>1.6579111929699599</v>
      </c>
      <c r="K6" s="22" t="s">
        <v>576</v>
      </c>
      <c r="L6" s="5" t="s">
        <v>480</v>
      </c>
      <c r="M6" s="5" t="s">
        <v>482</v>
      </c>
      <c r="N6" s="5" t="s">
        <v>481</v>
      </c>
      <c r="O6" s="5" t="s">
        <v>483</v>
      </c>
      <c r="P6" s="5">
        <v>0</v>
      </c>
      <c r="Q6" s="5">
        <v>193</v>
      </c>
      <c r="R6" s="5">
        <v>0</v>
      </c>
      <c r="S6" s="5" t="s">
        <v>21</v>
      </c>
      <c r="T6" s="5">
        <v>193</v>
      </c>
      <c r="U6" s="24" t="s">
        <v>595</v>
      </c>
      <c r="V6" s="5" t="s">
        <v>756</v>
      </c>
    </row>
    <row r="7" spans="1:22" x14ac:dyDescent="0.3">
      <c r="A7" s="5">
        <v>6</v>
      </c>
      <c r="B7" s="5" t="s">
        <v>405</v>
      </c>
      <c r="C7" s="5">
        <v>95133</v>
      </c>
      <c r="D7" s="5" t="str">
        <f>"254-14-108"</f>
        <v>254-14-108</v>
      </c>
      <c r="E7" s="5" t="s">
        <v>525</v>
      </c>
      <c r="F7" s="5" t="s">
        <v>9</v>
      </c>
      <c r="G7" s="22" t="s">
        <v>18</v>
      </c>
      <c r="H7" s="22">
        <v>55</v>
      </c>
      <c r="I7" s="5">
        <v>125</v>
      </c>
      <c r="J7" s="23">
        <v>2.1914812328107001</v>
      </c>
      <c r="K7" s="22" t="s">
        <v>576</v>
      </c>
      <c r="L7" s="5" t="s">
        <v>480</v>
      </c>
      <c r="M7" s="5" t="s">
        <v>482</v>
      </c>
      <c r="N7" s="5" t="s">
        <v>481</v>
      </c>
      <c r="O7" s="5" t="s">
        <v>483</v>
      </c>
      <c r="P7" s="5">
        <v>0</v>
      </c>
      <c r="Q7" s="5">
        <v>139</v>
      </c>
      <c r="R7" s="5">
        <v>0</v>
      </c>
      <c r="S7" s="5" t="s">
        <v>21</v>
      </c>
      <c r="T7" s="5">
        <v>139</v>
      </c>
      <c r="U7" s="24"/>
      <c r="V7" s="5" t="s">
        <v>794</v>
      </c>
    </row>
    <row r="8" spans="1:22" x14ac:dyDescent="0.3">
      <c r="A8" s="5">
        <v>7</v>
      </c>
      <c r="B8" s="5" t="s">
        <v>78</v>
      </c>
      <c r="C8" s="5">
        <v>95117</v>
      </c>
      <c r="D8" s="5" t="str">
        <f>"303-40-016"</f>
        <v>303-40-016</v>
      </c>
      <c r="E8" s="5"/>
      <c r="F8" s="5" t="s">
        <v>9</v>
      </c>
      <c r="G8" s="22" t="s">
        <v>18</v>
      </c>
      <c r="H8" s="22">
        <v>65</v>
      </c>
      <c r="I8" s="5">
        <v>250</v>
      </c>
      <c r="J8" s="23">
        <v>1.99991943742304</v>
      </c>
      <c r="K8" s="22" t="s">
        <v>582</v>
      </c>
      <c r="L8" s="5" t="s">
        <v>480</v>
      </c>
      <c r="M8" s="5" t="s">
        <v>482</v>
      </c>
      <c r="N8" s="5" t="s">
        <v>481</v>
      </c>
      <c r="O8" s="5" t="s">
        <v>483</v>
      </c>
      <c r="P8" s="5">
        <v>0</v>
      </c>
      <c r="Q8" s="5">
        <v>130</v>
      </c>
      <c r="R8" s="5">
        <v>0</v>
      </c>
      <c r="S8" s="5" t="s">
        <v>21</v>
      </c>
      <c r="T8" s="5">
        <v>130</v>
      </c>
      <c r="U8" s="24"/>
      <c r="V8" s="5" t="s">
        <v>694</v>
      </c>
    </row>
    <row r="9" spans="1:22" x14ac:dyDescent="0.3">
      <c r="A9" s="5">
        <v>8</v>
      </c>
      <c r="B9" s="5" t="s">
        <v>78</v>
      </c>
      <c r="C9" s="5">
        <v>95125</v>
      </c>
      <c r="D9" s="5" t="str">
        <f>"456-10-005"</f>
        <v>456-10-005</v>
      </c>
      <c r="E9" s="5"/>
      <c r="F9" s="5" t="s">
        <v>50</v>
      </c>
      <c r="G9" s="22" t="s">
        <v>96</v>
      </c>
      <c r="H9" s="22">
        <v>30</v>
      </c>
      <c r="I9" s="5">
        <v>95</v>
      </c>
      <c r="J9" s="23">
        <v>1.7372924842264299</v>
      </c>
      <c r="K9" s="22" t="s">
        <v>577</v>
      </c>
      <c r="L9" s="5" t="s">
        <v>480</v>
      </c>
      <c r="M9" s="5" t="s">
        <v>482</v>
      </c>
      <c r="N9" s="5" t="s">
        <v>481</v>
      </c>
      <c r="O9" s="5" t="s">
        <v>483</v>
      </c>
      <c r="P9" s="5">
        <v>0</v>
      </c>
      <c r="Q9" s="5">
        <v>0</v>
      </c>
      <c r="R9" s="5">
        <v>93</v>
      </c>
      <c r="S9" s="5" t="s">
        <v>26</v>
      </c>
      <c r="T9" s="5">
        <v>93</v>
      </c>
      <c r="U9" s="24"/>
      <c r="V9" s="5" t="s">
        <v>600</v>
      </c>
    </row>
    <row r="10" spans="1:22" x14ac:dyDescent="0.3">
      <c r="A10" s="5">
        <v>9</v>
      </c>
      <c r="B10" s="5" t="s">
        <v>99</v>
      </c>
      <c r="C10" s="5">
        <v>95128</v>
      </c>
      <c r="D10" s="5" t="str">
        <f>"279-25-025"</f>
        <v>279-25-025</v>
      </c>
      <c r="E10" s="5" t="s">
        <v>499</v>
      </c>
      <c r="F10" s="5" t="s">
        <v>50</v>
      </c>
      <c r="G10" s="22" t="s">
        <v>96</v>
      </c>
      <c r="H10" s="22">
        <v>45</v>
      </c>
      <c r="I10" s="5">
        <v>95</v>
      </c>
      <c r="J10" s="23">
        <v>0.51536549771783502</v>
      </c>
      <c r="K10" s="22" t="s">
        <v>576</v>
      </c>
      <c r="L10" s="5" t="s">
        <v>480</v>
      </c>
      <c r="M10" s="5" t="s">
        <v>482</v>
      </c>
      <c r="N10" s="5" t="s">
        <v>481</v>
      </c>
      <c r="O10" s="5" t="s">
        <v>483</v>
      </c>
      <c r="P10" s="25">
        <v>0</v>
      </c>
      <c r="Q10" s="5"/>
      <c r="R10" s="5">
        <v>26</v>
      </c>
      <c r="S10" s="5" t="s">
        <v>26</v>
      </c>
      <c r="T10" s="5">
        <v>26</v>
      </c>
      <c r="U10" s="24"/>
      <c r="V10" s="5" t="s">
        <v>636</v>
      </c>
    </row>
    <row r="11" spans="1:22" x14ac:dyDescent="0.3">
      <c r="A11" s="5">
        <v>10</v>
      </c>
      <c r="B11" s="5" t="s">
        <v>78</v>
      </c>
      <c r="C11" s="5">
        <v>95131</v>
      </c>
      <c r="D11" s="5" t="str">
        <f>"245-39-029"</f>
        <v>245-39-029</v>
      </c>
      <c r="E11" s="5"/>
      <c r="F11" s="5" t="s">
        <v>54</v>
      </c>
      <c r="G11" s="22" t="s">
        <v>589</v>
      </c>
      <c r="H11" s="22">
        <v>0</v>
      </c>
      <c r="I11" s="5">
        <v>8</v>
      </c>
      <c r="J11" s="23">
        <v>0.53311770005144299</v>
      </c>
      <c r="K11" s="22" t="s">
        <v>577</v>
      </c>
      <c r="L11" s="5" t="s">
        <v>480</v>
      </c>
      <c r="M11" s="5" t="s">
        <v>482</v>
      </c>
      <c r="N11" s="5" t="s">
        <v>481</v>
      </c>
      <c r="O11" s="5" t="s">
        <v>483</v>
      </c>
      <c r="P11" s="5">
        <v>0</v>
      </c>
      <c r="Q11" s="5"/>
      <c r="R11" s="5">
        <v>2</v>
      </c>
      <c r="S11" s="5" t="s">
        <v>26</v>
      </c>
      <c r="T11" s="5">
        <v>2</v>
      </c>
      <c r="U11" s="24"/>
      <c r="V11" s="5" t="s">
        <v>600</v>
      </c>
    </row>
    <row r="12" spans="1:22" x14ac:dyDescent="0.3">
      <c r="A12" s="5">
        <v>11</v>
      </c>
      <c r="B12" s="5" t="s">
        <v>161</v>
      </c>
      <c r="C12" s="5">
        <v>95117</v>
      </c>
      <c r="D12" s="5" t="str">
        <f>"303-39-049"</f>
        <v>303-39-049</v>
      </c>
      <c r="E12" s="5" t="s">
        <v>513</v>
      </c>
      <c r="F12" s="5" t="s">
        <v>29</v>
      </c>
      <c r="G12" s="22" t="s">
        <v>37</v>
      </c>
      <c r="H12" s="22">
        <v>0</v>
      </c>
      <c r="I12" s="5">
        <v>50</v>
      </c>
      <c r="J12" s="23">
        <v>0.701561531890595</v>
      </c>
      <c r="K12" s="22" t="s">
        <v>576</v>
      </c>
      <c r="L12" s="5" t="s">
        <v>480</v>
      </c>
      <c r="M12" s="5" t="s">
        <v>482</v>
      </c>
      <c r="N12" s="5" t="s">
        <v>481</v>
      </c>
      <c r="O12" s="5" t="s">
        <v>483</v>
      </c>
      <c r="P12" s="5">
        <v>0</v>
      </c>
      <c r="Q12" s="5">
        <v>53</v>
      </c>
      <c r="R12" s="5">
        <v>0</v>
      </c>
      <c r="S12" s="5" t="s">
        <v>21</v>
      </c>
      <c r="T12" s="5">
        <v>53</v>
      </c>
      <c r="U12" s="24"/>
      <c r="V12" s="5" t="s">
        <v>693</v>
      </c>
    </row>
    <row r="13" spans="1:22" ht="28.8" x14ac:dyDescent="0.3">
      <c r="A13" s="5">
        <v>12</v>
      </c>
      <c r="B13" s="5" t="s">
        <v>418</v>
      </c>
      <c r="C13" s="5">
        <v>95134</v>
      </c>
      <c r="D13" s="5" t="str">
        <f>"097-07-084"</f>
        <v>097-07-084</v>
      </c>
      <c r="E13" s="5" t="s">
        <v>486</v>
      </c>
      <c r="F13" s="5" t="s">
        <v>46</v>
      </c>
      <c r="G13" s="22" t="s">
        <v>578</v>
      </c>
      <c r="H13" s="22">
        <v>0</v>
      </c>
      <c r="I13" s="5">
        <v>0</v>
      </c>
      <c r="J13" s="23">
        <v>4.3418570741187201</v>
      </c>
      <c r="K13" s="22" t="s">
        <v>580</v>
      </c>
      <c r="L13" s="5" t="s">
        <v>480</v>
      </c>
      <c r="M13" s="5" t="s">
        <v>482</v>
      </c>
      <c r="N13" s="5" t="s">
        <v>481</v>
      </c>
      <c r="O13" s="5" t="s">
        <v>483</v>
      </c>
      <c r="P13" s="5">
        <v>0</v>
      </c>
      <c r="Q13" s="5">
        <v>0</v>
      </c>
      <c r="R13" s="5">
        <v>371</v>
      </c>
      <c r="S13" s="5" t="s">
        <v>26</v>
      </c>
      <c r="T13" s="5">
        <v>371</v>
      </c>
      <c r="U13" s="24" t="s">
        <v>607</v>
      </c>
      <c r="V13" s="5" t="s">
        <v>798</v>
      </c>
    </row>
    <row r="14" spans="1:22" x14ac:dyDescent="0.3">
      <c r="A14" s="5">
        <v>13</v>
      </c>
      <c r="B14" s="5" t="s">
        <v>370</v>
      </c>
      <c r="C14" s="5">
        <v>95116</v>
      </c>
      <c r="D14" s="5" t="str">
        <f>"467-33-001"</f>
        <v>467-33-001</v>
      </c>
      <c r="E14" s="5"/>
      <c r="F14" s="5" t="s">
        <v>9</v>
      </c>
      <c r="G14" s="22" t="s">
        <v>590</v>
      </c>
      <c r="H14" s="22">
        <v>0</v>
      </c>
      <c r="I14" s="5">
        <v>250</v>
      </c>
      <c r="J14" s="23">
        <v>0.50223627143876204</v>
      </c>
      <c r="K14" s="22" t="s">
        <v>576</v>
      </c>
      <c r="L14" s="5" t="s">
        <v>480</v>
      </c>
      <c r="M14" s="5" t="s">
        <v>482</v>
      </c>
      <c r="N14" s="5" t="s">
        <v>481</v>
      </c>
      <c r="O14" s="5" t="s">
        <v>483</v>
      </c>
      <c r="P14" s="5">
        <v>0</v>
      </c>
      <c r="Q14" s="5">
        <v>0</v>
      </c>
      <c r="R14" s="5">
        <v>26</v>
      </c>
      <c r="S14" s="5" t="s">
        <v>26</v>
      </c>
      <c r="T14" s="5">
        <v>26</v>
      </c>
      <c r="U14" s="24"/>
      <c r="V14" s="5" t="s">
        <v>840</v>
      </c>
    </row>
    <row r="15" spans="1:22" ht="28.8" x14ac:dyDescent="0.3">
      <c r="A15" s="5">
        <v>14</v>
      </c>
      <c r="B15" s="5" t="s">
        <v>401</v>
      </c>
      <c r="C15" s="5">
        <v>95134</v>
      </c>
      <c r="D15" s="5" t="str">
        <f>"097-54-015"</f>
        <v>097-54-015</v>
      </c>
      <c r="E15" s="5"/>
      <c r="F15" s="5" t="s">
        <v>46</v>
      </c>
      <c r="G15" s="22" t="s">
        <v>578</v>
      </c>
      <c r="H15" s="22">
        <v>0</v>
      </c>
      <c r="I15" s="5">
        <v>0</v>
      </c>
      <c r="J15" s="23">
        <v>5.6487384973837198</v>
      </c>
      <c r="K15" s="22" t="s">
        <v>576</v>
      </c>
      <c r="L15" s="5" t="s">
        <v>480</v>
      </c>
      <c r="M15" s="5" t="s">
        <v>482</v>
      </c>
      <c r="N15" s="5" t="s">
        <v>481</v>
      </c>
      <c r="O15" s="5" t="s">
        <v>483</v>
      </c>
      <c r="P15" s="5">
        <v>0</v>
      </c>
      <c r="Q15" s="5">
        <v>0</v>
      </c>
      <c r="R15" s="5">
        <v>614</v>
      </c>
      <c r="S15" s="5" t="s">
        <v>26</v>
      </c>
      <c r="T15" s="5">
        <v>614</v>
      </c>
      <c r="U15" s="26" t="s">
        <v>617</v>
      </c>
      <c r="V15" s="5" t="s">
        <v>598</v>
      </c>
    </row>
    <row r="16" spans="1:22" x14ac:dyDescent="0.3">
      <c r="A16" s="5">
        <v>15</v>
      </c>
      <c r="B16" s="5" t="s">
        <v>98</v>
      </c>
      <c r="C16" s="5">
        <v>95128</v>
      </c>
      <c r="D16" s="5" t="str">
        <f>"279-25-020"</f>
        <v>279-25-020</v>
      </c>
      <c r="E16" s="5"/>
      <c r="F16" s="5" t="s">
        <v>50</v>
      </c>
      <c r="G16" s="22" t="s">
        <v>96</v>
      </c>
      <c r="H16" s="22">
        <v>45</v>
      </c>
      <c r="I16" s="5">
        <v>95</v>
      </c>
      <c r="J16" s="23">
        <v>0.51711703675646103</v>
      </c>
      <c r="K16" s="22" t="s">
        <v>576</v>
      </c>
      <c r="L16" s="5" t="s">
        <v>480</v>
      </c>
      <c r="M16" s="5" t="s">
        <v>482</v>
      </c>
      <c r="N16" s="5" t="s">
        <v>481</v>
      </c>
      <c r="O16" s="5" t="s">
        <v>483</v>
      </c>
      <c r="P16" s="5">
        <v>0</v>
      </c>
      <c r="Q16" s="5">
        <v>0</v>
      </c>
      <c r="R16" s="5">
        <v>25</v>
      </c>
      <c r="S16" s="5" t="s">
        <v>26</v>
      </c>
      <c r="T16" s="5">
        <v>25</v>
      </c>
      <c r="U16" s="24"/>
      <c r="V16" s="5" t="s">
        <v>646</v>
      </c>
    </row>
    <row r="17" spans="1:22" ht="28.8" x14ac:dyDescent="0.3">
      <c r="A17" s="5">
        <v>16</v>
      </c>
      <c r="B17" s="5" t="s">
        <v>87</v>
      </c>
      <c r="C17" s="5">
        <v>95134</v>
      </c>
      <c r="D17" s="5" t="str">
        <f>"097-33-111"</f>
        <v>097-33-111</v>
      </c>
      <c r="E17" s="5"/>
      <c r="F17" s="5" t="s">
        <v>46</v>
      </c>
      <c r="G17" s="22" t="s">
        <v>578</v>
      </c>
      <c r="H17" s="22">
        <v>0</v>
      </c>
      <c r="I17" s="5">
        <v>0</v>
      </c>
      <c r="J17" s="23">
        <v>11.6835113939545</v>
      </c>
      <c r="K17" s="22" t="s">
        <v>580</v>
      </c>
      <c r="L17" s="5" t="s">
        <v>480</v>
      </c>
      <c r="M17" s="5" t="s">
        <v>482</v>
      </c>
      <c r="N17" s="5" t="s">
        <v>481</v>
      </c>
      <c r="O17" s="5" t="s">
        <v>483</v>
      </c>
      <c r="P17" s="5">
        <v>0</v>
      </c>
      <c r="Q17" s="5">
        <v>0</v>
      </c>
      <c r="R17" s="5">
        <v>931</v>
      </c>
      <c r="S17" s="5" t="s">
        <v>26</v>
      </c>
      <c r="T17" s="5">
        <v>931</v>
      </c>
      <c r="U17" s="24" t="s">
        <v>617</v>
      </c>
      <c r="V17" s="5" t="s">
        <v>640</v>
      </c>
    </row>
    <row r="18" spans="1:22" x14ac:dyDescent="0.3">
      <c r="A18" s="5">
        <v>17</v>
      </c>
      <c r="B18" s="5" t="s">
        <v>78</v>
      </c>
      <c r="C18" s="5">
        <v>95134</v>
      </c>
      <c r="D18" s="5" t="str">
        <f>"097-07-091"</f>
        <v>097-07-091</v>
      </c>
      <c r="E18" s="5" t="s">
        <v>572</v>
      </c>
      <c r="F18" s="5" t="s">
        <v>46</v>
      </c>
      <c r="G18" s="22" t="s">
        <v>578</v>
      </c>
      <c r="H18" s="22">
        <v>0</v>
      </c>
      <c r="I18" s="5">
        <v>0</v>
      </c>
      <c r="J18" s="23">
        <v>1.77267767106343</v>
      </c>
      <c r="K18" s="22" t="s">
        <v>582</v>
      </c>
      <c r="L18" s="5" t="s">
        <v>480</v>
      </c>
      <c r="M18" s="5" t="s">
        <v>482</v>
      </c>
      <c r="N18" s="5" t="s">
        <v>481</v>
      </c>
      <c r="O18" s="5" t="s">
        <v>483</v>
      </c>
      <c r="P18" s="5">
        <v>486</v>
      </c>
      <c r="Q18" s="5">
        <v>0</v>
      </c>
      <c r="R18" s="5">
        <v>133</v>
      </c>
      <c r="S18" s="5" t="s">
        <v>26</v>
      </c>
      <c r="T18" s="5">
        <v>133</v>
      </c>
      <c r="U18" s="24"/>
      <c r="V18" s="5" t="s">
        <v>600</v>
      </c>
    </row>
    <row r="19" spans="1:22" x14ac:dyDescent="0.3">
      <c r="A19" s="5">
        <v>18</v>
      </c>
      <c r="B19" s="5" t="s">
        <v>122</v>
      </c>
      <c r="C19" s="5">
        <v>95128</v>
      </c>
      <c r="D19" s="5" t="str">
        <f>"282-29-016"</f>
        <v>282-29-016</v>
      </c>
      <c r="E19" s="5"/>
      <c r="F19" s="5" t="s">
        <v>9</v>
      </c>
      <c r="G19" s="22" t="s">
        <v>18</v>
      </c>
      <c r="H19" s="22">
        <v>0</v>
      </c>
      <c r="I19" s="5">
        <v>150</v>
      </c>
      <c r="J19" s="23">
        <v>0.74316960546395205</v>
      </c>
      <c r="K19" s="22" t="s">
        <v>576</v>
      </c>
      <c r="L19" s="5" t="s">
        <v>480</v>
      </c>
      <c r="M19" s="5" t="s">
        <v>482</v>
      </c>
      <c r="N19" s="5" t="s">
        <v>481</v>
      </c>
      <c r="O19" s="5" t="s">
        <v>483</v>
      </c>
      <c r="P19" s="5">
        <v>0</v>
      </c>
      <c r="Q19" s="5">
        <v>40</v>
      </c>
      <c r="R19" s="5">
        <v>0</v>
      </c>
      <c r="S19" s="5" t="s">
        <v>21</v>
      </c>
      <c r="T19" s="5">
        <v>40</v>
      </c>
      <c r="U19" s="24"/>
      <c r="V19" s="5" t="s">
        <v>666</v>
      </c>
    </row>
    <row r="20" spans="1:22" ht="28.8" x14ac:dyDescent="0.3">
      <c r="A20" s="5">
        <v>19</v>
      </c>
      <c r="B20" s="5" t="s">
        <v>406</v>
      </c>
      <c r="C20" s="5">
        <v>95134</v>
      </c>
      <c r="D20" s="5" t="str">
        <f>"097-54-019"</f>
        <v>097-54-019</v>
      </c>
      <c r="E20" s="5"/>
      <c r="F20" s="5" t="s">
        <v>46</v>
      </c>
      <c r="G20" s="22" t="s">
        <v>578</v>
      </c>
      <c r="H20" s="22">
        <v>0</v>
      </c>
      <c r="I20" s="5">
        <v>0</v>
      </c>
      <c r="J20" s="23">
        <v>6.1387502533182197</v>
      </c>
      <c r="K20" s="22" t="s">
        <v>576</v>
      </c>
      <c r="L20" s="5" t="s">
        <v>480</v>
      </c>
      <c r="M20" s="5" t="s">
        <v>482</v>
      </c>
      <c r="N20" s="5" t="s">
        <v>481</v>
      </c>
      <c r="O20" s="5" t="s">
        <v>483</v>
      </c>
      <c r="P20" s="5">
        <v>0</v>
      </c>
      <c r="Q20" s="5">
        <v>0</v>
      </c>
      <c r="R20" s="5">
        <v>375</v>
      </c>
      <c r="S20" s="5" t="s">
        <v>26</v>
      </c>
      <c r="T20" s="5">
        <v>375</v>
      </c>
      <c r="U20" s="26" t="s">
        <v>617</v>
      </c>
      <c r="V20" s="5" t="s">
        <v>598</v>
      </c>
    </row>
    <row r="21" spans="1:22" ht="28.8" x14ac:dyDescent="0.3">
      <c r="A21" s="5">
        <v>20</v>
      </c>
      <c r="B21" s="5" t="s">
        <v>89</v>
      </c>
      <c r="C21" s="5">
        <v>95134</v>
      </c>
      <c r="D21" s="5" t="str">
        <f>"097-15-028"</f>
        <v>097-15-028</v>
      </c>
      <c r="E21" s="5"/>
      <c r="F21" s="5" t="s">
        <v>46</v>
      </c>
      <c r="G21" s="22" t="s">
        <v>578</v>
      </c>
      <c r="H21" s="22">
        <v>0</v>
      </c>
      <c r="I21" s="5">
        <v>0</v>
      </c>
      <c r="J21" s="23">
        <v>8.5810964964424805</v>
      </c>
      <c r="K21" s="22" t="s">
        <v>580</v>
      </c>
      <c r="L21" s="5" t="s">
        <v>480</v>
      </c>
      <c r="M21" s="5" t="s">
        <v>482</v>
      </c>
      <c r="N21" s="5" t="s">
        <v>481</v>
      </c>
      <c r="O21" s="5" t="s">
        <v>483</v>
      </c>
      <c r="P21" s="5">
        <v>0</v>
      </c>
      <c r="Q21" s="5">
        <v>0</v>
      </c>
      <c r="R21" s="5">
        <v>644</v>
      </c>
      <c r="S21" s="5" t="s">
        <v>26</v>
      </c>
      <c r="T21" s="5">
        <v>644</v>
      </c>
      <c r="U21" s="24" t="s">
        <v>617</v>
      </c>
      <c r="V21" s="5" t="s">
        <v>640</v>
      </c>
    </row>
    <row r="22" spans="1:22" ht="28.8" x14ac:dyDescent="0.3">
      <c r="A22" s="5">
        <v>21</v>
      </c>
      <c r="B22" s="5" t="s">
        <v>403</v>
      </c>
      <c r="C22" s="5">
        <v>95134</v>
      </c>
      <c r="D22" s="5" t="str">
        <f>"097-54-017"</f>
        <v>097-54-017</v>
      </c>
      <c r="E22" s="5"/>
      <c r="F22" s="5" t="s">
        <v>46</v>
      </c>
      <c r="G22" s="22" t="s">
        <v>578</v>
      </c>
      <c r="H22" s="22">
        <v>0</v>
      </c>
      <c r="I22" s="5">
        <v>0</v>
      </c>
      <c r="J22" s="23">
        <v>5.1432136045308496</v>
      </c>
      <c r="K22" s="22" t="s">
        <v>576</v>
      </c>
      <c r="L22" s="5" t="s">
        <v>480</v>
      </c>
      <c r="M22" s="5" t="s">
        <v>482</v>
      </c>
      <c r="N22" s="5" t="s">
        <v>481</v>
      </c>
      <c r="O22" s="5" t="s">
        <v>483</v>
      </c>
      <c r="P22" s="5">
        <v>0</v>
      </c>
      <c r="Q22" s="5">
        <v>0</v>
      </c>
      <c r="R22" s="5">
        <v>314</v>
      </c>
      <c r="S22" s="5" t="s">
        <v>26</v>
      </c>
      <c r="T22" s="5">
        <v>314</v>
      </c>
      <c r="U22" s="26" t="s">
        <v>617</v>
      </c>
      <c r="V22" s="5" t="s">
        <v>598</v>
      </c>
    </row>
    <row r="23" spans="1:22" ht="28.8" x14ac:dyDescent="0.3">
      <c r="A23" s="5">
        <v>22</v>
      </c>
      <c r="B23" s="5" t="s">
        <v>85</v>
      </c>
      <c r="C23" s="5">
        <v>95134</v>
      </c>
      <c r="D23" s="5" t="str">
        <f>"097-33-033"</f>
        <v>097-33-033</v>
      </c>
      <c r="E23" s="5" t="s">
        <v>498</v>
      </c>
      <c r="F23" s="5" t="s">
        <v>46</v>
      </c>
      <c r="G23" s="22" t="s">
        <v>578</v>
      </c>
      <c r="H23" s="22">
        <v>0</v>
      </c>
      <c r="I23" s="5">
        <v>0</v>
      </c>
      <c r="J23" s="23">
        <v>5.3370822020765996</v>
      </c>
      <c r="K23" s="22" t="s">
        <v>580</v>
      </c>
      <c r="L23" s="5" t="s">
        <v>480</v>
      </c>
      <c r="M23" s="5" t="s">
        <v>482</v>
      </c>
      <c r="N23" s="5" t="s">
        <v>481</v>
      </c>
      <c r="O23" s="5" t="s">
        <v>483</v>
      </c>
      <c r="P23" s="5">
        <v>0</v>
      </c>
      <c r="Q23" s="5">
        <v>0</v>
      </c>
      <c r="R23" s="5">
        <v>425</v>
      </c>
      <c r="S23" s="5" t="s">
        <v>26</v>
      </c>
      <c r="T23" s="5">
        <v>425</v>
      </c>
      <c r="U23" s="24" t="s">
        <v>617</v>
      </c>
      <c r="V23" s="5" t="s">
        <v>640</v>
      </c>
    </row>
    <row r="24" spans="1:22" x14ac:dyDescent="0.3">
      <c r="A24" s="5">
        <v>23</v>
      </c>
      <c r="B24" s="5" t="s">
        <v>157</v>
      </c>
      <c r="C24" s="5">
        <v>95117</v>
      </c>
      <c r="D24" s="5" t="str">
        <f>"303-29-023"</f>
        <v>303-29-023</v>
      </c>
      <c r="E24" s="5" t="s">
        <v>485</v>
      </c>
      <c r="F24" s="5" t="s">
        <v>29</v>
      </c>
      <c r="G24" s="22" t="s">
        <v>37</v>
      </c>
      <c r="H24" s="22">
        <v>0</v>
      </c>
      <c r="I24" s="5">
        <v>75</v>
      </c>
      <c r="J24" s="23">
        <v>2.17222235170567</v>
      </c>
      <c r="K24" s="22" t="s">
        <v>576</v>
      </c>
      <c r="L24" s="5" t="s">
        <v>480</v>
      </c>
      <c r="M24" s="5" t="s">
        <v>482</v>
      </c>
      <c r="N24" s="5" t="s">
        <v>481</v>
      </c>
      <c r="O24" s="5" t="s">
        <v>483</v>
      </c>
      <c r="P24" s="5">
        <v>0</v>
      </c>
      <c r="Q24" s="5">
        <v>163</v>
      </c>
      <c r="R24" s="5">
        <v>0</v>
      </c>
      <c r="S24" s="5" t="s">
        <v>21</v>
      </c>
      <c r="T24" s="5">
        <v>163</v>
      </c>
      <c r="U24" s="24"/>
      <c r="V24" s="5" t="s">
        <v>690</v>
      </c>
    </row>
    <row r="25" spans="1:22" x14ac:dyDescent="0.3">
      <c r="A25" s="5">
        <v>24</v>
      </c>
      <c r="B25" s="5" t="s">
        <v>136</v>
      </c>
      <c r="C25" s="5">
        <v>95128</v>
      </c>
      <c r="D25" s="5" t="str">
        <f>"299-01-008"</f>
        <v>299-01-008</v>
      </c>
      <c r="E25" s="5" t="s">
        <v>509</v>
      </c>
      <c r="F25" s="5" t="s">
        <v>9</v>
      </c>
      <c r="G25" s="22" t="s">
        <v>18</v>
      </c>
      <c r="H25" s="22">
        <v>65</v>
      </c>
      <c r="I25" s="5">
        <v>250</v>
      </c>
      <c r="J25" s="23">
        <v>0.49986851880484201</v>
      </c>
      <c r="K25" s="22" t="s">
        <v>576</v>
      </c>
      <c r="L25" s="5" t="s">
        <v>480</v>
      </c>
      <c r="M25" s="5" t="s">
        <v>482</v>
      </c>
      <c r="N25" s="5" t="s">
        <v>481</v>
      </c>
      <c r="O25" s="5" t="s">
        <v>483</v>
      </c>
      <c r="P25" s="5">
        <v>0</v>
      </c>
      <c r="Q25" s="5">
        <v>32</v>
      </c>
      <c r="R25" s="5">
        <v>0</v>
      </c>
      <c r="S25" s="5" t="s">
        <v>21</v>
      </c>
      <c r="T25" s="5">
        <v>32</v>
      </c>
      <c r="U25" s="24"/>
      <c r="V25" s="5" t="s">
        <v>627</v>
      </c>
    </row>
    <row r="26" spans="1:22" x14ac:dyDescent="0.3">
      <c r="A26" s="5">
        <v>25</v>
      </c>
      <c r="B26" s="5" t="s">
        <v>155</v>
      </c>
      <c r="C26" s="5">
        <v>95117</v>
      </c>
      <c r="D26" s="5" t="str">
        <f>"303-29-001"</f>
        <v>303-29-001</v>
      </c>
      <c r="E26" s="5"/>
      <c r="F26" s="5" t="s">
        <v>9</v>
      </c>
      <c r="G26" s="22" t="s">
        <v>18</v>
      </c>
      <c r="H26" s="22">
        <v>65</v>
      </c>
      <c r="I26" s="5">
        <v>250</v>
      </c>
      <c r="J26" s="23">
        <v>4.6251503636061297</v>
      </c>
      <c r="K26" s="22" t="s">
        <v>576</v>
      </c>
      <c r="L26" s="5" t="s">
        <v>480</v>
      </c>
      <c r="M26" s="5" t="s">
        <v>482</v>
      </c>
      <c r="N26" s="5" t="s">
        <v>481</v>
      </c>
      <c r="O26" s="5" t="s">
        <v>483</v>
      </c>
      <c r="P26" s="5">
        <v>0</v>
      </c>
      <c r="Q26" s="5">
        <v>301</v>
      </c>
      <c r="R26" s="5">
        <v>0</v>
      </c>
      <c r="S26" s="5" t="s">
        <v>21</v>
      </c>
      <c r="T26" s="5">
        <v>301</v>
      </c>
      <c r="U26" s="24"/>
      <c r="V26" s="5" t="s">
        <v>688</v>
      </c>
    </row>
    <row r="27" spans="1:22" x14ac:dyDescent="0.3">
      <c r="A27" s="5">
        <v>26</v>
      </c>
      <c r="B27" s="5" t="s">
        <v>27</v>
      </c>
      <c r="C27" s="5">
        <v>95128</v>
      </c>
      <c r="D27" s="5" t="str">
        <f>"282-28-025"</f>
        <v>282-28-025</v>
      </c>
      <c r="E27" s="5" t="s">
        <v>488</v>
      </c>
      <c r="F27" s="5" t="s">
        <v>9</v>
      </c>
      <c r="G27" s="22" t="s">
        <v>18</v>
      </c>
      <c r="H27" s="22">
        <v>0</v>
      </c>
      <c r="I27" s="5">
        <v>150</v>
      </c>
      <c r="J27" s="23">
        <v>1.4516288954094201</v>
      </c>
      <c r="K27" s="22" t="s">
        <v>576</v>
      </c>
      <c r="L27" s="5" t="s">
        <v>480</v>
      </c>
      <c r="M27" s="5" t="s">
        <v>482</v>
      </c>
      <c r="N27" s="5" t="s">
        <v>481</v>
      </c>
      <c r="O27" s="5" t="s">
        <v>483</v>
      </c>
      <c r="P27" s="5">
        <v>0</v>
      </c>
      <c r="Q27" s="5">
        <v>101</v>
      </c>
      <c r="R27" s="5">
        <v>0</v>
      </c>
      <c r="S27" s="5" t="s">
        <v>21</v>
      </c>
      <c r="T27" s="5">
        <v>101</v>
      </c>
      <c r="U27" s="24"/>
      <c r="V27" s="5" t="s">
        <v>606</v>
      </c>
    </row>
    <row r="28" spans="1:22" x14ac:dyDescent="0.3">
      <c r="A28" s="5">
        <v>27</v>
      </c>
      <c r="B28" s="5" t="s">
        <v>321</v>
      </c>
      <c r="C28" s="5">
        <v>95126</v>
      </c>
      <c r="D28" s="5" t="str">
        <f>"264-20-129"</f>
        <v>264-20-129</v>
      </c>
      <c r="E28" s="5"/>
      <c r="F28" s="5" t="s">
        <v>20</v>
      </c>
      <c r="G28" s="22" t="s">
        <v>584</v>
      </c>
      <c r="H28" s="22">
        <v>0</v>
      </c>
      <c r="I28" s="5">
        <v>800</v>
      </c>
      <c r="J28" s="23">
        <v>0.64225465726928499</v>
      </c>
      <c r="K28" s="22" t="s">
        <v>576</v>
      </c>
      <c r="L28" s="5" t="s">
        <v>480</v>
      </c>
      <c r="M28" s="5" t="s">
        <v>482</v>
      </c>
      <c r="N28" s="5" t="s">
        <v>481</v>
      </c>
      <c r="O28" s="5" t="s">
        <v>483</v>
      </c>
      <c r="P28" s="5">
        <v>0</v>
      </c>
      <c r="Q28" s="5">
        <v>0</v>
      </c>
      <c r="R28" s="5">
        <v>94</v>
      </c>
      <c r="S28" s="5" t="s">
        <v>26</v>
      </c>
      <c r="T28" s="5">
        <v>94</v>
      </c>
      <c r="U28" s="24"/>
      <c r="V28" s="5" t="s">
        <v>766</v>
      </c>
    </row>
    <row r="29" spans="1:22" x14ac:dyDescent="0.3">
      <c r="A29" s="5">
        <v>28</v>
      </c>
      <c r="B29" s="5" t="s">
        <v>106</v>
      </c>
      <c r="C29" s="5">
        <v>95128</v>
      </c>
      <c r="D29" s="5" t="str">
        <f>"282-11-018"</f>
        <v>282-11-018</v>
      </c>
      <c r="E29" s="5"/>
      <c r="F29" s="5" t="s">
        <v>9</v>
      </c>
      <c r="G29" s="22" t="s">
        <v>18</v>
      </c>
      <c r="H29" s="22">
        <v>0</v>
      </c>
      <c r="I29" s="5">
        <v>150</v>
      </c>
      <c r="J29" s="23">
        <v>0.54830739776715298</v>
      </c>
      <c r="K29" s="22" t="s">
        <v>576</v>
      </c>
      <c r="L29" s="5" t="s">
        <v>480</v>
      </c>
      <c r="M29" s="5" t="s">
        <v>482</v>
      </c>
      <c r="N29" s="5" t="s">
        <v>481</v>
      </c>
      <c r="O29" s="5" t="s">
        <v>483</v>
      </c>
      <c r="P29" s="5">
        <v>0</v>
      </c>
      <c r="Q29" s="5">
        <v>33</v>
      </c>
      <c r="R29" s="5">
        <v>0</v>
      </c>
      <c r="S29" s="5" t="s">
        <v>21</v>
      </c>
      <c r="T29" s="5">
        <v>33</v>
      </c>
      <c r="U29" s="24"/>
      <c r="V29" s="5" t="s">
        <v>652</v>
      </c>
    </row>
    <row r="30" spans="1:22" ht="28.8" x14ac:dyDescent="0.3">
      <c r="A30" s="5">
        <v>29</v>
      </c>
      <c r="B30" s="5" t="s">
        <v>86</v>
      </c>
      <c r="C30" s="5">
        <v>95134</v>
      </c>
      <c r="D30" s="5" t="str">
        <f>"097-33-034"</f>
        <v>097-33-034</v>
      </c>
      <c r="E30" s="5" t="s">
        <v>498</v>
      </c>
      <c r="F30" s="5" t="s">
        <v>46</v>
      </c>
      <c r="G30" s="22" t="s">
        <v>578</v>
      </c>
      <c r="H30" s="22">
        <v>0</v>
      </c>
      <c r="I30" s="5">
        <v>0</v>
      </c>
      <c r="J30" s="23">
        <v>4.3907985409482704</v>
      </c>
      <c r="K30" s="22" t="s">
        <v>580</v>
      </c>
      <c r="L30" s="5" t="s">
        <v>480</v>
      </c>
      <c r="M30" s="5" t="s">
        <v>482</v>
      </c>
      <c r="N30" s="5" t="s">
        <v>481</v>
      </c>
      <c r="O30" s="5" t="s">
        <v>483</v>
      </c>
      <c r="P30" s="5">
        <v>0</v>
      </c>
      <c r="Q30" s="5">
        <v>0</v>
      </c>
      <c r="R30" s="5">
        <v>329</v>
      </c>
      <c r="S30" s="5" t="s">
        <v>26</v>
      </c>
      <c r="T30" s="5">
        <v>329</v>
      </c>
      <c r="U30" s="24" t="s">
        <v>617</v>
      </c>
      <c r="V30" s="5" t="s">
        <v>640</v>
      </c>
    </row>
    <row r="31" spans="1:22" x14ac:dyDescent="0.3">
      <c r="A31" s="5">
        <v>30</v>
      </c>
      <c r="B31" s="5" t="s">
        <v>234</v>
      </c>
      <c r="C31" s="5">
        <v>95110</v>
      </c>
      <c r="D31" s="5" t="str">
        <f>"259-05-068"</f>
        <v>259-05-068</v>
      </c>
      <c r="E31" s="5"/>
      <c r="F31" s="5" t="s">
        <v>222</v>
      </c>
      <c r="G31" s="22" t="s">
        <v>223</v>
      </c>
      <c r="H31" s="22">
        <v>50</v>
      </c>
      <c r="I31" s="5">
        <v>250</v>
      </c>
      <c r="J31" s="23">
        <v>0.89157098408767899</v>
      </c>
      <c r="K31" s="22" t="s">
        <v>576</v>
      </c>
      <c r="L31" s="5" t="s">
        <v>480</v>
      </c>
      <c r="M31" s="5" t="s">
        <v>482</v>
      </c>
      <c r="N31" s="5" t="s">
        <v>481</v>
      </c>
      <c r="O31" s="5" t="s">
        <v>483</v>
      </c>
      <c r="P31" s="25">
        <v>0</v>
      </c>
      <c r="Q31" s="5">
        <v>108</v>
      </c>
      <c r="R31" s="5">
        <v>0</v>
      </c>
      <c r="S31" s="5" t="s">
        <v>21</v>
      </c>
      <c r="T31" s="5">
        <v>108</v>
      </c>
      <c r="U31" s="24"/>
      <c r="V31" s="5" t="s">
        <v>12</v>
      </c>
    </row>
    <row r="32" spans="1:22" x14ac:dyDescent="0.3">
      <c r="A32" s="5">
        <v>31</v>
      </c>
      <c r="B32" s="5" t="s">
        <v>78</v>
      </c>
      <c r="C32" s="5">
        <v>95116</v>
      </c>
      <c r="D32" s="5" t="str">
        <f>"467-33-002"</f>
        <v>467-33-002</v>
      </c>
      <c r="E32" s="5"/>
      <c r="F32" s="5" t="s">
        <v>9</v>
      </c>
      <c r="G32" s="22" t="s">
        <v>590</v>
      </c>
      <c r="H32" s="22">
        <v>0</v>
      </c>
      <c r="I32" s="5">
        <v>250</v>
      </c>
      <c r="J32" s="23">
        <v>0.37710804700074302</v>
      </c>
      <c r="K32" s="22" t="s">
        <v>576</v>
      </c>
      <c r="L32" s="5" t="s">
        <v>480</v>
      </c>
      <c r="M32" s="5" t="s">
        <v>482</v>
      </c>
      <c r="N32" s="5" t="s">
        <v>481</v>
      </c>
      <c r="O32" s="5" t="s">
        <v>483</v>
      </c>
      <c r="P32" s="5">
        <v>0</v>
      </c>
      <c r="Q32" s="5">
        <v>0</v>
      </c>
      <c r="R32" s="5">
        <v>23</v>
      </c>
      <c r="S32" s="5" t="s">
        <v>26</v>
      </c>
      <c r="T32" s="5">
        <v>23</v>
      </c>
      <c r="U32" s="24"/>
      <c r="V32" s="5" t="s">
        <v>840</v>
      </c>
    </row>
    <row r="33" spans="1:22" ht="28.8" x14ac:dyDescent="0.3">
      <c r="A33" s="5">
        <v>32</v>
      </c>
      <c r="B33" s="5" t="s">
        <v>45</v>
      </c>
      <c r="C33" s="5">
        <v>95134</v>
      </c>
      <c r="D33" s="5" t="str">
        <f>"097-07-065"</f>
        <v>097-07-065</v>
      </c>
      <c r="E33" s="5" t="s">
        <v>486</v>
      </c>
      <c r="F33" s="5" t="s">
        <v>46</v>
      </c>
      <c r="G33" s="22" t="s">
        <v>578</v>
      </c>
      <c r="H33" s="22">
        <v>0</v>
      </c>
      <c r="I33" s="5">
        <v>0</v>
      </c>
      <c r="J33" s="23">
        <v>4.2867812480352603</v>
      </c>
      <c r="K33" s="22" t="s">
        <v>576</v>
      </c>
      <c r="L33" s="5" t="s">
        <v>480</v>
      </c>
      <c r="M33" s="5" t="s">
        <v>482</v>
      </c>
      <c r="N33" s="5" t="s">
        <v>481</v>
      </c>
      <c r="O33" s="5" t="s">
        <v>483</v>
      </c>
      <c r="P33" s="5">
        <v>0</v>
      </c>
      <c r="Q33" s="5">
        <v>0</v>
      </c>
      <c r="R33" s="5">
        <v>366</v>
      </c>
      <c r="S33" s="5" t="s">
        <v>26</v>
      </c>
      <c r="T33" s="5">
        <v>366</v>
      </c>
      <c r="U33" s="24" t="s">
        <v>617</v>
      </c>
      <c r="V33" s="5" t="s">
        <v>618</v>
      </c>
    </row>
    <row r="34" spans="1:22" ht="28.8" x14ac:dyDescent="0.3">
      <c r="A34" s="5">
        <v>33</v>
      </c>
      <c r="B34" s="5" t="s">
        <v>402</v>
      </c>
      <c r="C34" s="5">
        <v>95134</v>
      </c>
      <c r="D34" s="5" t="str">
        <f>"097-54-016"</f>
        <v>097-54-016</v>
      </c>
      <c r="E34" s="5"/>
      <c r="F34" s="5" t="s">
        <v>46</v>
      </c>
      <c r="G34" s="22" t="s">
        <v>578</v>
      </c>
      <c r="H34" s="22">
        <v>0</v>
      </c>
      <c r="I34" s="5">
        <v>0</v>
      </c>
      <c r="J34" s="23">
        <v>5.3554086404126604</v>
      </c>
      <c r="K34" s="22" t="s">
        <v>576</v>
      </c>
      <c r="L34" s="5" t="s">
        <v>480</v>
      </c>
      <c r="M34" s="5" t="s">
        <v>482</v>
      </c>
      <c r="N34" s="5" t="s">
        <v>481</v>
      </c>
      <c r="O34" s="5" t="s">
        <v>483</v>
      </c>
      <c r="P34" s="5">
        <v>0</v>
      </c>
      <c r="Q34" s="5">
        <v>0</v>
      </c>
      <c r="R34" s="5">
        <v>327</v>
      </c>
      <c r="S34" s="5" t="s">
        <v>26</v>
      </c>
      <c r="T34" s="5">
        <v>327</v>
      </c>
      <c r="U34" s="26" t="s">
        <v>617</v>
      </c>
      <c r="V34" s="5" t="s">
        <v>598</v>
      </c>
    </row>
    <row r="35" spans="1:22" ht="28.8" x14ac:dyDescent="0.3">
      <c r="A35" s="5">
        <v>34</v>
      </c>
      <c r="B35" s="5" t="s">
        <v>78</v>
      </c>
      <c r="C35" s="5">
        <v>95110</v>
      </c>
      <c r="D35" s="5" t="str">
        <f>"259-23-024"</f>
        <v>259-23-024</v>
      </c>
      <c r="E35" s="5"/>
      <c r="F35" s="5" t="s">
        <v>20</v>
      </c>
      <c r="G35" s="22" t="s">
        <v>584</v>
      </c>
      <c r="H35" s="22">
        <v>0</v>
      </c>
      <c r="I35" s="5">
        <v>800</v>
      </c>
      <c r="J35" s="23">
        <v>9.5123545732802501</v>
      </c>
      <c r="K35" s="22" t="s">
        <v>577</v>
      </c>
      <c r="L35" s="5" t="s">
        <v>480</v>
      </c>
      <c r="M35" s="5" t="s">
        <v>482</v>
      </c>
      <c r="N35" s="5" t="s">
        <v>481</v>
      </c>
      <c r="O35" s="5" t="s">
        <v>483</v>
      </c>
      <c r="P35" s="5">
        <v>0</v>
      </c>
      <c r="Q35" s="5">
        <v>0</v>
      </c>
      <c r="R35" s="5">
        <v>590</v>
      </c>
      <c r="S35" s="5" t="s">
        <v>26</v>
      </c>
      <c r="T35" s="5">
        <v>590</v>
      </c>
      <c r="U35" s="24" t="s">
        <v>607</v>
      </c>
      <c r="V35" s="5" t="s">
        <v>810</v>
      </c>
    </row>
    <row r="36" spans="1:22" x14ac:dyDescent="0.3">
      <c r="A36" s="5">
        <v>35</v>
      </c>
      <c r="B36" s="5" t="s">
        <v>48</v>
      </c>
      <c r="C36" s="5">
        <v>95126</v>
      </c>
      <c r="D36" s="5" t="str">
        <f>"261-32-074"</f>
        <v>261-32-074</v>
      </c>
      <c r="E36" s="5"/>
      <c r="F36" s="5" t="s">
        <v>9</v>
      </c>
      <c r="G36" s="22" t="s">
        <v>18</v>
      </c>
      <c r="H36" s="22">
        <v>55</v>
      </c>
      <c r="I36" s="5">
        <v>250</v>
      </c>
      <c r="J36" s="23">
        <v>0.54207208575246202</v>
      </c>
      <c r="K36" s="22" t="s">
        <v>579</v>
      </c>
      <c r="L36" s="5" t="s">
        <v>480</v>
      </c>
      <c r="M36" s="5" t="s">
        <v>482</v>
      </c>
      <c r="N36" s="5" t="s">
        <v>481</v>
      </c>
      <c r="O36" s="5" t="s">
        <v>483</v>
      </c>
      <c r="P36" s="5">
        <v>0</v>
      </c>
      <c r="Q36" s="5">
        <v>30</v>
      </c>
      <c r="R36" s="5">
        <v>0</v>
      </c>
      <c r="S36" s="5" t="s">
        <v>21</v>
      </c>
      <c r="T36" s="5">
        <v>30</v>
      </c>
      <c r="U36" s="24"/>
      <c r="V36" s="5" t="s">
        <v>619</v>
      </c>
    </row>
    <row r="37" spans="1:22" x14ac:dyDescent="0.3">
      <c r="A37" s="5">
        <v>36</v>
      </c>
      <c r="B37" s="5" t="s">
        <v>78</v>
      </c>
      <c r="C37" s="5">
        <v>95116</v>
      </c>
      <c r="D37" s="5" t="str">
        <f>"467-33-008"</f>
        <v>467-33-008</v>
      </c>
      <c r="E37" s="5"/>
      <c r="F37" s="5" t="s">
        <v>9</v>
      </c>
      <c r="G37" s="22" t="s">
        <v>590</v>
      </c>
      <c r="H37" s="22">
        <v>0</v>
      </c>
      <c r="I37" s="5">
        <v>250</v>
      </c>
      <c r="J37" s="23">
        <v>0.378315813565962</v>
      </c>
      <c r="K37" s="22" t="s">
        <v>576</v>
      </c>
      <c r="L37" s="5" t="s">
        <v>480</v>
      </c>
      <c r="M37" s="5" t="s">
        <v>482</v>
      </c>
      <c r="N37" s="5" t="s">
        <v>481</v>
      </c>
      <c r="O37" s="5" t="s">
        <v>483</v>
      </c>
      <c r="P37" s="5">
        <v>0</v>
      </c>
      <c r="Q37" s="5">
        <v>0</v>
      </c>
      <c r="R37" s="5">
        <v>24</v>
      </c>
      <c r="S37" s="5" t="s">
        <v>26</v>
      </c>
      <c r="T37" s="5">
        <v>24</v>
      </c>
      <c r="U37" s="24"/>
      <c r="V37" s="5" t="s">
        <v>840</v>
      </c>
    </row>
    <row r="38" spans="1:22" x14ac:dyDescent="0.3">
      <c r="A38" s="5">
        <v>37</v>
      </c>
      <c r="B38" s="5" t="s">
        <v>78</v>
      </c>
      <c r="C38" s="5">
        <v>95116</v>
      </c>
      <c r="D38" s="5" t="str">
        <f>"467-33-006"</f>
        <v>467-33-006</v>
      </c>
      <c r="E38" s="5"/>
      <c r="F38" s="5" t="s">
        <v>9</v>
      </c>
      <c r="G38" s="22" t="s">
        <v>590</v>
      </c>
      <c r="H38" s="22">
        <v>0</v>
      </c>
      <c r="I38" s="5">
        <v>250</v>
      </c>
      <c r="J38" s="23">
        <v>0.50238342125244695</v>
      </c>
      <c r="K38" s="22" t="s">
        <v>576</v>
      </c>
      <c r="L38" s="5" t="s">
        <v>480</v>
      </c>
      <c r="M38" s="5" t="s">
        <v>482</v>
      </c>
      <c r="N38" s="5" t="s">
        <v>481</v>
      </c>
      <c r="O38" s="5" t="s">
        <v>483</v>
      </c>
      <c r="P38" s="5">
        <v>0</v>
      </c>
      <c r="Q38" s="5">
        <v>0</v>
      </c>
      <c r="R38" s="5">
        <v>26</v>
      </c>
      <c r="S38" s="5" t="s">
        <v>26</v>
      </c>
      <c r="T38" s="5">
        <v>26</v>
      </c>
      <c r="U38" s="24"/>
      <c r="V38" s="5" t="s">
        <v>840</v>
      </c>
    </row>
    <row r="39" spans="1:22" x14ac:dyDescent="0.3">
      <c r="A39" s="5">
        <v>38</v>
      </c>
      <c r="B39" s="5" t="s">
        <v>78</v>
      </c>
      <c r="C39" s="5">
        <v>95116</v>
      </c>
      <c r="D39" s="5" t="str">
        <f>"467-33-007"</f>
        <v>467-33-007</v>
      </c>
      <c r="E39" s="5"/>
      <c r="F39" s="5" t="s">
        <v>9</v>
      </c>
      <c r="G39" s="22" t="s">
        <v>590</v>
      </c>
      <c r="H39" s="22">
        <v>0</v>
      </c>
      <c r="I39" s="5">
        <v>250</v>
      </c>
      <c r="J39" s="23">
        <v>0.50394046937208403</v>
      </c>
      <c r="K39" s="22" t="s">
        <v>576</v>
      </c>
      <c r="L39" s="5" t="s">
        <v>480</v>
      </c>
      <c r="M39" s="5" t="s">
        <v>482</v>
      </c>
      <c r="N39" s="5" t="s">
        <v>481</v>
      </c>
      <c r="O39" s="5" t="s">
        <v>483</v>
      </c>
      <c r="P39" s="5">
        <v>0</v>
      </c>
      <c r="Q39" s="5">
        <v>0</v>
      </c>
      <c r="R39" s="5">
        <v>26</v>
      </c>
      <c r="S39" s="5" t="s">
        <v>26</v>
      </c>
      <c r="T39" s="5">
        <v>26</v>
      </c>
      <c r="U39" s="24"/>
      <c r="V39" s="5" t="s">
        <v>840</v>
      </c>
    </row>
    <row r="40" spans="1:22" x14ac:dyDescent="0.3">
      <c r="A40" s="5">
        <v>39</v>
      </c>
      <c r="B40" s="5" t="s">
        <v>78</v>
      </c>
      <c r="C40" s="5">
        <v>95116</v>
      </c>
      <c r="D40" s="5" t="str">
        <f>"467-33-003"</f>
        <v>467-33-003</v>
      </c>
      <c r="E40" s="5"/>
      <c r="F40" s="5" t="s">
        <v>9</v>
      </c>
      <c r="G40" s="22" t="s">
        <v>590</v>
      </c>
      <c r="H40" s="22">
        <v>0</v>
      </c>
      <c r="I40" s="5">
        <v>250</v>
      </c>
      <c r="J40" s="23">
        <v>0.25155786272894298</v>
      </c>
      <c r="K40" s="22" t="s">
        <v>576</v>
      </c>
      <c r="L40" s="5" t="s">
        <v>480</v>
      </c>
      <c r="M40" s="5" t="s">
        <v>482</v>
      </c>
      <c r="N40" s="5" t="s">
        <v>481</v>
      </c>
      <c r="O40" s="5" t="s">
        <v>483</v>
      </c>
      <c r="P40" s="5">
        <v>0</v>
      </c>
      <c r="Q40" s="5">
        <v>0</v>
      </c>
      <c r="R40" s="5">
        <v>16</v>
      </c>
      <c r="S40" s="5" t="s">
        <v>26</v>
      </c>
      <c r="T40" s="5">
        <v>16</v>
      </c>
      <c r="U40" s="24"/>
      <c r="V40" s="5" t="s">
        <v>840</v>
      </c>
    </row>
    <row r="41" spans="1:22" x14ac:dyDescent="0.3">
      <c r="A41" s="5">
        <v>40</v>
      </c>
      <c r="B41" s="5" t="s">
        <v>142</v>
      </c>
      <c r="C41" s="5">
        <v>95117</v>
      </c>
      <c r="D41" s="5" t="str">
        <f>"299-25-014"</f>
        <v>299-25-014</v>
      </c>
      <c r="E41" s="5" t="s">
        <v>510</v>
      </c>
      <c r="F41" s="5" t="s">
        <v>29</v>
      </c>
      <c r="G41" s="22" t="s">
        <v>37</v>
      </c>
      <c r="H41" s="22">
        <v>0</v>
      </c>
      <c r="I41" s="5">
        <v>75</v>
      </c>
      <c r="J41" s="23">
        <v>3.1852624876142901</v>
      </c>
      <c r="K41" s="22" t="s">
        <v>576</v>
      </c>
      <c r="L41" s="5" t="s">
        <v>480</v>
      </c>
      <c r="M41" s="5" t="s">
        <v>482</v>
      </c>
      <c r="N41" s="5" t="s">
        <v>481</v>
      </c>
      <c r="O41" s="5" t="s">
        <v>483</v>
      </c>
      <c r="P41" s="5">
        <v>0</v>
      </c>
      <c r="Q41" s="5">
        <v>184</v>
      </c>
      <c r="R41" s="5">
        <v>0</v>
      </c>
      <c r="S41" s="5" t="s">
        <v>21</v>
      </c>
      <c r="T41" s="5">
        <v>184</v>
      </c>
      <c r="U41" s="24"/>
      <c r="V41" s="5" t="s">
        <v>669</v>
      </c>
    </row>
    <row r="42" spans="1:22" x14ac:dyDescent="0.3">
      <c r="A42" s="5">
        <v>41</v>
      </c>
      <c r="B42" s="5" t="s">
        <v>221</v>
      </c>
      <c r="C42" s="5">
        <v>95112</v>
      </c>
      <c r="D42" s="5" t="str">
        <f>"249-02-073"</f>
        <v>249-02-073</v>
      </c>
      <c r="E42" s="5"/>
      <c r="F42" s="5" t="s">
        <v>222</v>
      </c>
      <c r="G42" s="22" t="s">
        <v>223</v>
      </c>
      <c r="H42" s="22">
        <v>50</v>
      </c>
      <c r="I42" s="5">
        <v>250</v>
      </c>
      <c r="J42" s="23">
        <v>0.625474882052794</v>
      </c>
      <c r="K42" s="22" t="s">
        <v>576</v>
      </c>
      <c r="L42" s="5" t="s">
        <v>480</v>
      </c>
      <c r="M42" s="5" t="s">
        <v>482</v>
      </c>
      <c r="N42" s="5" t="s">
        <v>481</v>
      </c>
      <c r="O42" s="5" t="s">
        <v>483</v>
      </c>
      <c r="P42" s="25">
        <v>0</v>
      </c>
      <c r="Q42" s="5">
        <v>0</v>
      </c>
      <c r="R42" s="5">
        <v>75</v>
      </c>
      <c r="S42" s="5" t="s">
        <v>26</v>
      </c>
      <c r="T42" s="5">
        <v>75</v>
      </c>
      <c r="U42" s="24"/>
      <c r="V42" s="5" t="s">
        <v>727</v>
      </c>
    </row>
    <row r="43" spans="1:22" x14ac:dyDescent="0.3">
      <c r="A43" s="5">
        <v>42</v>
      </c>
      <c r="B43" s="5" t="s">
        <v>120</v>
      </c>
      <c r="C43" s="5">
        <v>95128</v>
      </c>
      <c r="D43" s="5" t="str">
        <f>"282-29-018"</f>
        <v>282-29-018</v>
      </c>
      <c r="E43" s="5" t="s">
        <v>505</v>
      </c>
      <c r="F43" s="5" t="s">
        <v>9</v>
      </c>
      <c r="G43" s="22" t="s">
        <v>18</v>
      </c>
      <c r="H43" s="22">
        <v>0</v>
      </c>
      <c r="I43" s="5">
        <v>150</v>
      </c>
      <c r="J43" s="23">
        <v>0.51009348132505605</v>
      </c>
      <c r="K43" s="22" t="s">
        <v>576</v>
      </c>
      <c r="L43" s="5" t="s">
        <v>480</v>
      </c>
      <c r="M43" s="5" t="s">
        <v>482</v>
      </c>
      <c r="N43" s="5" t="s">
        <v>481</v>
      </c>
      <c r="O43" s="5" t="s">
        <v>483</v>
      </c>
      <c r="P43" s="5">
        <v>0</v>
      </c>
      <c r="Q43" s="5">
        <v>34</v>
      </c>
      <c r="R43" s="5">
        <v>0</v>
      </c>
      <c r="S43" s="5" t="s">
        <v>21</v>
      </c>
      <c r="T43" s="5">
        <v>34</v>
      </c>
      <c r="U43" s="24"/>
      <c r="V43" s="5" t="s">
        <v>612</v>
      </c>
    </row>
    <row r="44" spans="1:22" x14ac:dyDescent="0.3">
      <c r="A44" s="5">
        <v>43</v>
      </c>
      <c r="B44" s="5" t="s">
        <v>36</v>
      </c>
      <c r="C44" s="5">
        <v>95128</v>
      </c>
      <c r="D44" s="5" t="str">
        <f>"274-17-087"</f>
        <v>274-17-087</v>
      </c>
      <c r="E44" s="5"/>
      <c r="F44" s="5" t="s">
        <v>29</v>
      </c>
      <c r="G44" s="22" t="s">
        <v>37</v>
      </c>
      <c r="H44" s="22">
        <v>0</v>
      </c>
      <c r="I44" s="5">
        <v>50</v>
      </c>
      <c r="J44" s="23">
        <v>0.879635863750725</v>
      </c>
      <c r="K44" s="22" t="s">
        <v>576</v>
      </c>
      <c r="L44" s="5" t="s">
        <v>480</v>
      </c>
      <c r="M44" s="5" t="s">
        <v>482</v>
      </c>
      <c r="N44" s="5" t="s">
        <v>481</v>
      </c>
      <c r="O44" s="5" t="s">
        <v>483</v>
      </c>
      <c r="P44" s="5">
        <v>0</v>
      </c>
      <c r="Q44" s="5">
        <v>97</v>
      </c>
      <c r="R44" s="5">
        <v>0</v>
      </c>
      <c r="S44" s="5" t="s">
        <v>21</v>
      </c>
      <c r="T44" s="5">
        <v>97</v>
      </c>
      <c r="U44" s="24"/>
      <c r="V44" s="5" t="s">
        <v>612</v>
      </c>
    </row>
    <row r="45" spans="1:22" x14ac:dyDescent="0.3">
      <c r="A45" s="5">
        <v>44</v>
      </c>
      <c r="B45" s="5" t="s">
        <v>210</v>
      </c>
      <c r="C45" s="5">
        <v>95112</v>
      </c>
      <c r="D45" s="5" t="str">
        <f>"230-29-088"</f>
        <v>230-29-088</v>
      </c>
      <c r="E45" s="5"/>
      <c r="F45" s="5" t="s">
        <v>9</v>
      </c>
      <c r="G45" s="22" t="s">
        <v>18</v>
      </c>
      <c r="H45" s="22">
        <v>55</v>
      </c>
      <c r="I45" s="5">
        <v>250</v>
      </c>
      <c r="J45" s="23">
        <v>3.5566684084217801</v>
      </c>
      <c r="K45" s="22" t="s">
        <v>576</v>
      </c>
      <c r="L45" s="5" t="s">
        <v>480</v>
      </c>
      <c r="M45" s="5" t="s">
        <v>482</v>
      </c>
      <c r="N45" s="5" t="s">
        <v>481</v>
      </c>
      <c r="O45" s="5" t="s">
        <v>483</v>
      </c>
      <c r="P45" s="5">
        <v>0</v>
      </c>
      <c r="Q45" s="5">
        <v>0</v>
      </c>
      <c r="R45" s="5">
        <v>192</v>
      </c>
      <c r="S45" s="5" t="s">
        <v>26</v>
      </c>
      <c r="T45" s="5">
        <v>192</v>
      </c>
      <c r="U45" s="24"/>
      <c r="V45" s="5" t="s">
        <v>720</v>
      </c>
    </row>
    <row r="46" spans="1:22" x14ac:dyDescent="0.3">
      <c r="A46" s="5">
        <v>45</v>
      </c>
      <c r="B46" s="5" t="s">
        <v>118</v>
      </c>
      <c r="C46" s="5">
        <v>95128</v>
      </c>
      <c r="D46" s="5" t="str">
        <f>"282-29-010"</f>
        <v>282-29-010</v>
      </c>
      <c r="E46" s="5" t="s">
        <v>505</v>
      </c>
      <c r="F46" s="5" t="s">
        <v>9</v>
      </c>
      <c r="G46" s="22" t="s">
        <v>18</v>
      </c>
      <c r="H46" s="22">
        <v>0</v>
      </c>
      <c r="I46" s="5">
        <v>150</v>
      </c>
      <c r="J46" s="23">
        <v>0.424435348173899</v>
      </c>
      <c r="K46" s="22" t="s">
        <v>576</v>
      </c>
      <c r="L46" s="5" t="s">
        <v>480</v>
      </c>
      <c r="M46" s="5" t="s">
        <v>482</v>
      </c>
      <c r="N46" s="5" t="s">
        <v>481</v>
      </c>
      <c r="O46" s="5" t="s">
        <v>483</v>
      </c>
      <c r="P46" s="5">
        <v>0</v>
      </c>
      <c r="Q46" s="5">
        <v>32</v>
      </c>
      <c r="R46" s="5">
        <v>0</v>
      </c>
      <c r="S46" s="5" t="s">
        <v>21</v>
      </c>
      <c r="T46" s="5">
        <v>32</v>
      </c>
      <c r="U46" s="24"/>
      <c r="V46" s="5" t="s">
        <v>663</v>
      </c>
    </row>
    <row r="47" spans="1:22" ht="28.8" x14ac:dyDescent="0.3">
      <c r="A47" s="5">
        <v>46</v>
      </c>
      <c r="B47" s="5" t="s">
        <v>417</v>
      </c>
      <c r="C47" s="5">
        <v>95134</v>
      </c>
      <c r="D47" s="5" t="str">
        <f>"097-07-030"</f>
        <v>097-07-030</v>
      </c>
      <c r="E47" s="5"/>
      <c r="F47" s="5" t="s">
        <v>46</v>
      </c>
      <c r="G47" s="22" t="s">
        <v>578</v>
      </c>
      <c r="H47" s="22">
        <v>0</v>
      </c>
      <c r="I47" s="5">
        <v>0</v>
      </c>
      <c r="J47" s="23">
        <v>3.0023346471573999</v>
      </c>
      <c r="K47" s="22" t="s">
        <v>579</v>
      </c>
      <c r="L47" s="5" t="s">
        <v>480</v>
      </c>
      <c r="M47" s="5" t="s">
        <v>482</v>
      </c>
      <c r="N47" s="5" t="s">
        <v>481</v>
      </c>
      <c r="O47" s="5" t="s">
        <v>483</v>
      </c>
      <c r="P47" s="5">
        <v>0</v>
      </c>
      <c r="Q47" s="5">
        <v>0</v>
      </c>
      <c r="R47" s="5">
        <v>340</v>
      </c>
      <c r="S47" s="5" t="s">
        <v>26</v>
      </c>
      <c r="T47" s="5">
        <v>340</v>
      </c>
      <c r="U47" s="24" t="s">
        <v>617</v>
      </c>
      <c r="V47" s="5" t="s">
        <v>797</v>
      </c>
    </row>
    <row r="48" spans="1:22" x14ac:dyDescent="0.3">
      <c r="A48" s="5">
        <v>47</v>
      </c>
      <c r="B48" s="5" t="s">
        <v>414</v>
      </c>
      <c r="C48" s="5">
        <v>95134</v>
      </c>
      <c r="D48" s="5" t="str">
        <f>"097-07-046"</f>
        <v>097-07-046</v>
      </c>
      <c r="E48" s="5" t="s">
        <v>563</v>
      </c>
      <c r="F48" s="5" t="s">
        <v>46</v>
      </c>
      <c r="G48" s="22" t="s">
        <v>578</v>
      </c>
      <c r="H48" s="22">
        <v>0</v>
      </c>
      <c r="I48" s="5">
        <v>0</v>
      </c>
      <c r="J48" s="23">
        <v>4.2746703213266004</v>
      </c>
      <c r="K48" s="22" t="s">
        <v>580</v>
      </c>
      <c r="L48" s="5" t="s">
        <v>480</v>
      </c>
      <c r="M48" s="5" t="s">
        <v>846</v>
      </c>
      <c r="N48" s="5" t="s">
        <v>481</v>
      </c>
      <c r="O48" s="5" t="s">
        <v>483</v>
      </c>
      <c r="P48" s="5">
        <v>0</v>
      </c>
      <c r="Q48" s="5">
        <v>0</v>
      </c>
      <c r="R48" s="5">
        <v>405</v>
      </c>
      <c r="S48" s="5" t="s">
        <v>26</v>
      </c>
      <c r="T48" s="5">
        <v>405</v>
      </c>
      <c r="U48" s="24" t="s">
        <v>601</v>
      </c>
      <c r="V48" s="5" t="s">
        <v>614</v>
      </c>
    </row>
    <row r="49" spans="1:22" ht="28.8" x14ac:dyDescent="0.3">
      <c r="A49" s="5">
        <v>48</v>
      </c>
      <c r="B49" s="5" t="s">
        <v>422</v>
      </c>
      <c r="C49" s="5">
        <v>95134</v>
      </c>
      <c r="D49" s="5" t="str">
        <f>"097-07-068"</f>
        <v>097-07-068</v>
      </c>
      <c r="E49" s="5"/>
      <c r="F49" s="5" t="s">
        <v>222</v>
      </c>
      <c r="G49" s="22" t="s">
        <v>223</v>
      </c>
      <c r="H49" s="22">
        <v>50</v>
      </c>
      <c r="I49" s="5">
        <v>250</v>
      </c>
      <c r="J49" s="23">
        <v>33.622633630790197</v>
      </c>
      <c r="K49" s="22" t="s">
        <v>581</v>
      </c>
      <c r="L49" s="5" t="s">
        <v>480</v>
      </c>
      <c r="M49" s="5" t="s">
        <v>482</v>
      </c>
      <c r="N49" s="5" t="s">
        <v>481</v>
      </c>
      <c r="O49" s="5" t="s">
        <v>483</v>
      </c>
      <c r="P49" s="25">
        <v>0</v>
      </c>
      <c r="Q49" s="5">
        <v>0</v>
      </c>
      <c r="R49" s="5">
        <v>2157</v>
      </c>
      <c r="S49" s="5" t="s">
        <v>26</v>
      </c>
      <c r="T49" s="5">
        <v>2157</v>
      </c>
      <c r="U49" s="24" t="s">
        <v>607</v>
      </c>
      <c r="V49" s="5" t="s">
        <v>800</v>
      </c>
    </row>
    <row r="50" spans="1:22" x14ac:dyDescent="0.3">
      <c r="A50" s="5">
        <v>49</v>
      </c>
      <c r="B50" s="5" t="s">
        <v>226</v>
      </c>
      <c r="C50" s="5">
        <v>95112</v>
      </c>
      <c r="D50" s="5" t="str">
        <f>"249-08-034"</f>
        <v>249-08-034</v>
      </c>
      <c r="E50" s="5"/>
      <c r="F50" s="5" t="s">
        <v>33</v>
      </c>
      <c r="G50" s="22" t="s">
        <v>34</v>
      </c>
      <c r="H50" s="22">
        <v>0</v>
      </c>
      <c r="I50" s="5">
        <v>30</v>
      </c>
      <c r="J50" s="23">
        <v>1.3782809236777001</v>
      </c>
      <c r="K50" s="22" t="s">
        <v>580</v>
      </c>
      <c r="L50" s="5" t="s">
        <v>480</v>
      </c>
      <c r="M50" s="5" t="s">
        <v>482</v>
      </c>
      <c r="N50" s="5" t="s">
        <v>481</v>
      </c>
      <c r="O50" s="5" t="s">
        <v>483</v>
      </c>
      <c r="P50" s="5">
        <v>0</v>
      </c>
      <c r="Q50" s="5">
        <v>25</v>
      </c>
      <c r="R50" s="5">
        <v>0</v>
      </c>
      <c r="S50" s="5" t="s">
        <v>21</v>
      </c>
      <c r="T50" s="5">
        <v>25</v>
      </c>
      <c r="U50" s="24"/>
      <c r="V50" s="5" t="s">
        <v>729</v>
      </c>
    </row>
    <row r="51" spans="1:22" x14ac:dyDescent="0.3">
      <c r="A51" s="5">
        <v>50</v>
      </c>
      <c r="B51" s="5" t="s">
        <v>110</v>
      </c>
      <c r="C51" s="5">
        <v>95128</v>
      </c>
      <c r="D51" s="5" t="str">
        <f>"282-28-001"</f>
        <v>282-28-001</v>
      </c>
      <c r="E51" s="5" t="s">
        <v>503</v>
      </c>
      <c r="F51" s="5" t="s">
        <v>9</v>
      </c>
      <c r="G51" s="22" t="s">
        <v>18</v>
      </c>
      <c r="H51" s="22">
        <v>0</v>
      </c>
      <c r="I51" s="5">
        <v>150</v>
      </c>
      <c r="J51" s="23">
        <v>0.522074306541505</v>
      </c>
      <c r="K51" s="22" t="s">
        <v>576</v>
      </c>
      <c r="L51" s="5" t="s">
        <v>480</v>
      </c>
      <c r="M51" s="5" t="s">
        <v>482</v>
      </c>
      <c r="N51" s="5" t="s">
        <v>481</v>
      </c>
      <c r="O51" s="5" t="s">
        <v>483</v>
      </c>
      <c r="P51" s="5">
        <v>0</v>
      </c>
      <c r="Q51" s="5">
        <v>35</v>
      </c>
      <c r="R51" s="5">
        <v>0</v>
      </c>
      <c r="S51" s="5" t="s">
        <v>21</v>
      </c>
      <c r="T51" s="5">
        <v>35</v>
      </c>
      <c r="U51" s="24"/>
      <c r="V51" s="5" t="s">
        <v>656</v>
      </c>
    </row>
    <row r="52" spans="1:22" x14ac:dyDescent="0.3">
      <c r="A52" s="5">
        <v>51</v>
      </c>
      <c r="B52" s="5" t="s">
        <v>25</v>
      </c>
      <c r="C52" s="5">
        <v>95128</v>
      </c>
      <c r="D52" s="5" t="str">
        <f>"282-28-026"</f>
        <v>282-28-026</v>
      </c>
      <c r="E52" s="5" t="s">
        <v>488</v>
      </c>
      <c r="F52" s="5" t="s">
        <v>9</v>
      </c>
      <c r="G52" s="22" t="s">
        <v>18</v>
      </c>
      <c r="H52" s="22">
        <v>0</v>
      </c>
      <c r="I52" s="5">
        <v>150</v>
      </c>
      <c r="J52" s="23">
        <v>1.3766722379371199</v>
      </c>
      <c r="K52" s="22" t="s">
        <v>576</v>
      </c>
      <c r="L52" s="5" t="s">
        <v>480</v>
      </c>
      <c r="M52" s="5" t="s">
        <v>482</v>
      </c>
      <c r="N52" s="5" t="s">
        <v>481</v>
      </c>
      <c r="O52" s="5" t="s">
        <v>483</v>
      </c>
      <c r="P52" s="5">
        <v>0</v>
      </c>
      <c r="Q52" s="5">
        <v>93</v>
      </c>
      <c r="R52" s="5">
        <v>0</v>
      </c>
      <c r="S52" s="5" t="s">
        <v>21</v>
      </c>
      <c r="T52" s="5">
        <v>93</v>
      </c>
      <c r="U52" s="24"/>
      <c r="V52" s="5" t="s">
        <v>606</v>
      </c>
    </row>
    <row r="53" spans="1:22" x14ac:dyDescent="0.3">
      <c r="A53" s="5">
        <v>52</v>
      </c>
      <c r="B53" s="5" t="s">
        <v>407</v>
      </c>
      <c r="C53" s="5">
        <v>95133</v>
      </c>
      <c r="D53" s="5" t="str">
        <f>"254-14-064"</f>
        <v>254-14-064</v>
      </c>
      <c r="E53" s="5"/>
      <c r="F53" s="5" t="s">
        <v>9</v>
      </c>
      <c r="G53" s="22" t="s">
        <v>18</v>
      </c>
      <c r="H53" s="22">
        <v>55</v>
      </c>
      <c r="I53" s="5">
        <v>125</v>
      </c>
      <c r="J53" s="23">
        <v>2.3504939034330801</v>
      </c>
      <c r="K53" s="22" t="s">
        <v>576</v>
      </c>
      <c r="L53" s="5" t="s">
        <v>480</v>
      </c>
      <c r="M53" s="5" t="s">
        <v>482</v>
      </c>
      <c r="N53" s="5" t="s">
        <v>481</v>
      </c>
      <c r="O53" s="5" t="s">
        <v>483</v>
      </c>
      <c r="P53" s="5">
        <v>0</v>
      </c>
      <c r="Q53" s="5">
        <v>175</v>
      </c>
      <c r="R53" s="5">
        <v>0</v>
      </c>
      <c r="S53" s="5" t="s">
        <v>21</v>
      </c>
      <c r="T53" s="5">
        <v>175</v>
      </c>
      <c r="U53" s="24"/>
      <c r="V53" s="5" t="s">
        <v>841</v>
      </c>
    </row>
    <row r="54" spans="1:22" ht="28.8" x14ac:dyDescent="0.3">
      <c r="A54" s="5">
        <v>53</v>
      </c>
      <c r="B54" s="5" t="s">
        <v>78</v>
      </c>
      <c r="C54" s="5">
        <v>95134</v>
      </c>
      <c r="D54" s="5" t="str">
        <f>"097-06-055"</f>
        <v>097-06-055</v>
      </c>
      <c r="E54" s="5"/>
      <c r="F54" s="5" t="s">
        <v>46</v>
      </c>
      <c r="G54" s="5" t="s">
        <v>6</v>
      </c>
      <c r="H54" s="22">
        <v>0</v>
      </c>
      <c r="I54" s="5">
        <v>0</v>
      </c>
      <c r="J54" s="23">
        <v>11.5566336320773</v>
      </c>
      <c r="K54" s="22" t="s">
        <v>769</v>
      </c>
      <c r="L54" s="5" t="s">
        <v>480</v>
      </c>
      <c r="M54" s="5" t="s">
        <v>482</v>
      </c>
      <c r="N54" s="5" t="s">
        <v>481</v>
      </c>
      <c r="O54" s="5" t="s">
        <v>483</v>
      </c>
      <c r="P54" s="5">
        <v>0</v>
      </c>
      <c r="Q54" s="5">
        <v>0</v>
      </c>
      <c r="R54" s="5">
        <v>410</v>
      </c>
      <c r="S54" s="5" t="s">
        <v>26</v>
      </c>
      <c r="T54" s="5">
        <v>410</v>
      </c>
      <c r="U54" s="26" t="s">
        <v>617</v>
      </c>
      <c r="V54" s="5" t="s">
        <v>769</v>
      </c>
    </row>
    <row r="55" spans="1:22" x14ac:dyDescent="0.3">
      <c r="A55" s="5">
        <v>54</v>
      </c>
      <c r="B55" s="5" t="s">
        <v>78</v>
      </c>
      <c r="C55" s="5">
        <v>95134</v>
      </c>
      <c r="D55" s="5" t="str">
        <f>"097-07-092"</f>
        <v>097-07-092</v>
      </c>
      <c r="E55" s="5" t="s">
        <v>572</v>
      </c>
      <c r="F55" s="5" t="s">
        <v>46</v>
      </c>
      <c r="G55" s="22" t="s">
        <v>578</v>
      </c>
      <c r="H55" s="22">
        <v>0</v>
      </c>
      <c r="I55" s="5">
        <v>0</v>
      </c>
      <c r="J55" s="23">
        <v>1.1231148421991399</v>
      </c>
      <c r="K55" s="22" t="s">
        <v>582</v>
      </c>
      <c r="L55" s="5" t="s">
        <v>480</v>
      </c>
      <c r="M55" s="5" t="s">
        <v>482</v>
      </c>
      <c r="N55" s="5" t="s">
        <v>481</v>
      </c>
      <c r="O55" s="5" t="s">
        <v>483</v>
      </c>
      <c r="P55" s="5">
        <v>0</v>
      </c>
      <c r="Q55" s="5">
        <v>0</v>
      </c>
      <c r="R55" s="5">
        <v>109</v>
      </c>
      <c r="S55" s="5" t="s">
        <v>26</v>
      </c>
      <c r="T55" s="5">
        <v>109</v>
      </c>
      <c r="U55" s="24"/>
      <c r="V55" s="5" t="s">
        <v>694</v>
      </c>
    </row>
    <row r="56" spans="1:22" x14ac:dyDescent="0.3">
      <c r="A56" s="5">
        <v>55</v>
      </c>
      <c r="B56" s="5" t="s">
        <v>137</v>
      </c>
      <c r="C56" s="5">
        <v>95128</v>
      </c>
      <c r="D56" s="5" t="str">
        <f>"299-01-010"</f>
        <v>299-01-010</v>
      </c>
      <c r="E56" s="5" t="s">
        <v>509</v>
      </c>
      <c r="F56" s="5" t="s">
        <v>9</v>
      </c>
      <c r="G56" s="22" t="s">
        <v>18</v>
      </c>
      <c r="H56" s="22">
        <v>65</v>
      </c>
      <c r="I56" s="5">
        <v>250</v>
      </c>
      <c r="J56" s="23">
        <v>3.45008513272745</v>
      </c>
      <c r="K56" s="22" t="s">
        <v>576</v>
      </c>
      <c r="L56" s="5" t="s">
        <v>480</v>
      </c>
      <c r="M56" s="5" t="s">
        <v>482</v>
      </c>
      <c r="N56" s="5" t="s">
        <v>481</v>
      </c>
      <c r="O56" s="5" t="s">
        <v>483</v>
      </c>
      <c r="P56" s="5">
        <v>0</v>
      </c>
      <c r="Q56" s="5">
        <v>224</v>
      </c>
      <c r="R56" s="5">
        <v>0</v>
      </c>
      <c r="S56" s="5" t="s">
        <v>21</v>
      </c>
      <c r="T56" s="5">
        <v>224</v>
      </c>
      <c r="U56" s="24"/>
      <c r="V56" s="5" t="s">
        <v>676</v>
      </c>
    </row>
    <row r="57" spans="1:22" ht="28.8" x14ac:dyDescent="0.3">
      <c r="A57" s="5">
        <v>56</v>
      </c>
      <c r="B57" s="5" t="s">
        <v>404</v>
      </c>
      <c r="C57" s="5">
        <v>95134</v>
      </c>
      <c r="D57" s="5" t="str">
        <f>"097-54-018"</f>
        <v>097-54-018</v>
      </c>
      <c r="E57" s="5"/>
      <c r="F57" s="5" t="s">
        <v>46</v>
      </c>
      <c r="G57" s="22" t="s">
        <v>578</v>
      </c>
      <c r="H57" s="22">
        <v>0</v>
      </c>
      <c r="I57" s="5">
        <v>0</v>
      </c>
      <c r="J57" s="23">
        <v>5.4749856745369501</v>
      </c>
      <c r="K57" s="22" t="s">
        <v>576</v>
      </c>
      <c r="L57" s="5" t="s">
        <v>480</v>
      </c>
      <c r="M57" s="5" t="s">
        <v>482</v>
      </c>
      <c r="N57" s="5" t="s">
        <v>481</v>
      </c>
      <c r="O57" s="5" t="s">
        <v>483</v>
      </c>
      <c r="P57" s="5">
        <v>0</v>
      </c>
      <c r="Q57" s="5">
        <v>0</v>
      </c>
      <c r="R57" s="5">
        <v>335</v>
      </c>
      <c r="S57" s="5" t="s">
        <v>26</v>
      </c>
      <c r="T57" s="5">
        <v>335</v>
      </c>
      <c r="U57" s="26" t="s">
        <v>617</v>
      </c>
      <c r="V57" s="5" t="s">
        <v>598</v>
      </c>
    </row>
    <row r="58" spans="1:22" x14ac:dyDescent="0.3">
      <c r="A58" s="5">
        <v>57</v>
      </c>
      <c r="B58" s="5" t="s">
        <v>420</v>
      </c>
      <c r="C58" s="5">
        <v>95133</v>
      </c>
      <c r="D58" s="5" t="str">
        <f>"254-29-017"</f>
        <v>254-29-017</v>
      </c>
      <c r="E58" s="5" t="s">
        <v>556</v>
      </c>
      <c r="F58" s="5" t="s">
        <v>5</v>
      </c>
      <c r="G58" s="22" t="s">
        <v>508</v>
      </c>
      <c r="H58" s="22">
        <v>0</v>
      </c>
      <c r="I58" s="5">
        <v>0</v>
      </c>
      <c r="J58" s="23">
        <v>0.58058553909358102</v>
      </c>
      <c r="K58" s="22" t="s">
        <v>576</v>
      </c>
      <c r="L58" s="5" t="s">
        <v>480</v>
      </c>
      <c r="M58" s="5" t="s">
        <v>482</v>
      </c>
      <c r="N58" s="5" t="s">
        <v>481</v>
      </c>
      <c r="O58" s="5" t="s">
        <v>483</v>
      </c>
      <c r="P58" s="5">
        <v>41</v>
      </c>
      <c r="Q58" s="5">
        <v>0</v>
      </c>
      <c r="R58" s="5">
        <v>0</v>
      </c>
      <c r="S58" s="5" t="s">
        <v>7</v>
      </c>
      <c r="T58" s="5">
        <v>41</v>
      </c>
      <c r="U58" s="24"/>
      <c r="V58" s="5" t="s">
        <v>778</v>
      </c>
    </row>
    <row r="59" spans="1:22" x14ac:dyDescent="0.3">
      <c r="A59" s="5">
        <v>58</v>
      </c>
      <c r="B59" s="5" t="s">
        <v>22</v>
      </c>
      <c r="C59" s="5">
        <v>95117</v>
      </c>
      <c r="D59" s="5" t="str">
        <f>"303-28-072"</f>
        <v>303-28-072</v>
      </c>
      <c r="E59" s="5"/>
      <c r="F59" s="5" t="s">
        <v>9</v>
      </c>
      <c r="G59" s="22" t="s">
        <v>18</v>
      </c>
      <c r="H59" s="22">
        <v>65</v>
      </c>
      <c r="I59" s="5">
        <v>250</v>
      </c>
      <c r="J59" s="23">
        <v>1.5636395425051099</v>
      </c>
      <c r="K59" s="22" t="s">
        <v>576</v>
      </c>
      <c r="L59" s="5" t="s">
        <v>480</v>
      </c>
      <c r="M59" s="5" t="s">
        <v>482</v>
      </c>
      <c r="N59" s="5" t="s">
        <v>481</v>
      </c>
      <c r="O59" s="5" t="s">
        <v>483</v>
      </c>
      <c r="P59" s="5">
        <v>209</v>
      </c>
      <c r="Q59" s="5">
        <v>0</v>
      </c>
      <c r="R59" s="5">
        <v>0</v>
      </c>
      <c r="S59" s="5" t="s">
        <v>7</v>
      </c>
      <c r="T59" s="5">
        <v>209</v>
      </c>
      <c r="U59" s="24"/>
      <c r="V59" s="5" t="s">
        <v>604</v>
      </c>
    </row>
    <row r="60" spans="1:22" x14ac:dyDescent="0.3">
      <c r="A60" s="5">
        <v>59</v>
      </c>
      <c r="B60" s="5" t="s">
        <v>78</v>
      </c>
      <c r="C60" s="5">
        <v>95123</v>
      </c>
      <c r="D60" s="5" t="str">
        <f>"692-26-049"</f>
        <v>692-26-049</v>
      </c>
      <c r="E60" s="5"/>
      <c r="F60" s="5" t="s">
        <v>5</v>
      </c>
      <c r="G60" s="22" t="s">
        <v>508</v>
      </c>
      <c r="H60" s="22">
        <v>0</v>
      </c>
      <c r="I60" s="5">
        <v>0</v>
      </c>
      <c r="J60" s="23">
        <v>0.58250001254495398</v>
      </c>
      <c r="K60" s="22" t="s">
        <v>582</v>
      </c>
      <c r="L60" s="5" t="s">
        <v>480</v>
      </c>
      <c r="M60" s="5" t="s">
        <v>482</v>
      </c>
      <c r="N60" s="5" t="s">
        <v>481</v>
      </c>
      <c r="O60" s="5" t="s">
        <v>483</v>
      </c>
      <c r="P60" s="5">
        <v>41</v>
      </c>
      <c r="Q60" s="5">
        <v>0</v>
      </c>
      <c r="R60" s="5">
        <v>0</v>
      </c>
      <c r="S60" s="5" t="s">
        <v>7</v>
      </c>
      <c r="T60" s="5">
        <v>41</v>
      </c>
      <c r="U60" s="24" t="s">
        <v>595</v>
      </c>
      <c r="V60" s="5" t="s">
        <v>694</v>
      </c>
    </row>
    <row r="61" spans="1:22" ht="28.8" x14ac:dyDescent="0.3">
      <c r="A61" s="5">
        <v>60</v>
      </c>
      <c r="B61" s="5" t="s">
        <v>167</v>
      </c>
      <c r="C61" s="5">
        <v>95129</v>
      </c>
      <c r="D61" s="5" t="str">
        <f>"307-05-067"</f>
        <v>307-05-067</v>
      </c>
      <c r="E61" s="5" t="s">
        <v>514</v>
      </c>
      <c r="F61" s="5" t="s">
        <v>5</v>
      </c>
      <c r="G61" s="22" t="s">
        <v>508</v>
      </c>
      <c r="H61" s="22">
        <v>0</v>
      </c>
      <c r="I61" s="5">
        <v>0</v>
      </c>
      <c r="J61" s="23">
        <v>0.50781733981975896</v>
      </c>
      <c r="K61" s="22" t="s">
        <v>576</v>
      </c>
      <c r="L61" s="5" t="s">
        <v>480</v>
      </c>
      <c r="M61" s="5" t="s">
        <v>482</v>
      </c>
      <c r="N61" s="5" t="s">
        <v>481</v>
      </c>
      <c r="O61" s="5" t="s">
        <v>483</v>
      </c>
      <c r="P61" s="5">
        <v>34</v>
      </c>
      <c r="Q61" s="5">
        <v>0</v>
      </c>
      <c r="R61" s="5">
        <v>0</v>
      </c>
      <c r="S61" s="5" t="s">
        <v>7</v>
      </c>
      <c r="T61" s="5">
        <v>34</v>
      </c>
      <c r="U61" s="24" t="s">
        <v>607</v>
      </c>
      <c r="V61" s="5" t="s">
        <v>691</v>
      </c>
    </row>
    <row r="62" spans="1:22" ht="28.8" x14ac:dyDescent="0.3">
      <c r="A62" s="5">
        <v>61</v>
      </c>
      <c r="B62" s="5" t="s">
        <v>125</v>
      </c>
      <c r="C62" s="5">
        <v>95125</v>
      </c>
      <c r="D62" s="5" t="str">
        <f>"284-18-005"</f>
        <v>284-18-005</v>
      </c>
      <c r="E62" s="5" t="s">
        <v>506</v>
      </c>
      <c r="F62" s="5" t="s">
        <v>5</v>
      </c>
      <c r="G62" s="22" t="s">
        <v>500</v>
      </c>
      <c r="H62" s="22">
        <v>0</v>
      </c>
      <c r="I62" s="5">
        <v>0</v>
      </c>
      <c r="J62" s="23">
        <v>0.70955560072711998</v>
      </c>
      <c r="K62" s="22" t="s">
        <v>576</v>
      </c>
      <c r="L62" s="5" t="s">
        <v>480</v>
      </c>
      <c r="M62" s="5" t="s">
        <v>482</v>
      </c>
      <c r="N62" s="5" t="s">
        <v>481</v>
      </c>
      <c r="O62" s="5" t="s">
        <v>483</v>
      </c>
      <c r="P62" s="5">
        <v>50</v>
      </c>
      <c r="Q62" s="5">
        <v>0</v>
      </c>
      <c r="R62" s="5">
        <v>0</v>
      </c>
      <c r="S62" s="5" t="s">
        <v>7</v>
      </c>
      <c r="T62" s="5">
        <v>50</v>
      </c>
      <c r="U62" s="24" t="s">
        <v>607</v>
      </c>
      <c r="V62" s="5" t="s">
        <v>663</v>
      </c>
    </row>
    <row r="63" spans="1:22" ht="28.8" x14ac:dyDescent="0.3">
      <c r="A63" s="5">
        <v>62</v>
      </c>
      <c r="B63" s="5" t="s">
        <v>182</v>
      </c>
      <c r="C63" s="5">
        <v>95129</v>
      </c>
      <c r="D63" s="5" t="str">
        <f>"381-16-145"</f>
        <v>381-16-145</v>
      </c>
      <c r="E63" s="5"/>
      <c r="F63" s="5" t="s">
        <v>5</v>
      </c>
      <c r="G63" s="22" t="s">
        <v>508</v>
      </c>
      <c r="H63" s="22">
        <v>0</v>
      </c>
      <c r="I63" s="5">
        <v>0</v>
      </c>
      <c r="J63" s="23">
        <v>0.90312073863251896</v>
      </c>
      <c r="K63" s="22" t="s">
        <v>576</v>
      </c>
      <c r="L63" s="5" t="s">
        <v>480</v>
      </c>
      <c r="M63" s="5" t="s">
        <v>482</v>
      </c>
      <c r="N63" s="5" t="s">
        <v>481</v>
      </c>
      <c r="O63" s="5" t="s">
        <v>483</v>
      </c>
      <c r="P63" s="5">
        <v>58</v>
      </c>
      <c r="Q63" s="5">
        <v>0</v>
      </c>
      <c r="R63" s="5">
        <v>0</v>
      </c>
      <c r="S63" s="5" t="s">
        <v>7</v>
      </c>
      <c r="T63" s="5">
        <v>58</v>
      </c>
      <c r="U63" s="24" t="s">
        <v>607</v>
      </c>
      <c r="V63" s="5" t="s">
        <v>707</v>
      </c>
    </row>
    <row r="64" spans="1:22" x14ac:dyDescent="0.3">
      <c r="A64" s="5">
        <v>63</v>
      </c>
      <c r="B64" s="5" t="s">
        <v>193</v>
      </c>
      <c r="C64" s="5">
        <v>95118</v>
      </c>
      <c r="D64" s="5" t="str">
        <f>"451-41-068"</f>
        <v>451-41-068</v>
      </c>
      <c r="E64" s="5"/>
      <c r="F64" s="5" t="s">
        <v>5</v>
      </c>
      <c r="G64" s="22" t="s">
        <v>500</v>
      </c>
      <c r="H64" s="22">
        <v>0</v>
      </c>
      <c r="I64" s="5">
        <v>0</v>
      </c>
      <c r="J64" s="23">
        <v>1.43960208384928</v>
      </c>
      <c r="K64" s="22" t="s">
        <v>576</v>
      </c>
      <c r="L64" s="5" t="s">
        <v>480</v>
      </c>
      <c r="M64" s="5" t="s">
        <v>482</v>
      </c>
      <c r="N64" s="5" t="s">
        <v>481</v>
      </c>
      <c r="O64" s="5" t="s">
        <v>483</v>
      </c>
      <c r="P64" s="5">
        <v>117</v>
      </c>
      <c r="Q64" s="5">
        <v>0</v>
      </c>
      <c r="R64" s="5">
        <v>0</v>
      </c>
      <c r="S64" s="5" t="s">
        <v>7</v>
      </c>
      <c r="T64" s="5">
        <v>117</v>
      </c>
      <c r="U64" s="24" t="s">
        <v>595</v>
      </c>
      <c r="V64" s="5" t="s">
        <v>713</v>
      </c>
    </row>
    <row r="65" spans="1:22" x14ac:dyDescent="0.3">
      <c r="A65" s="5">
        <v>64</v>
      </c>
      <c r="B65" s="5" t="s">
        <v>78</v>
      </c>
      <c r="C65" s="5">
        <v>95123</v>
      </c>
      <c r="D65" s="5" t="str">
        <f>"692-27-071"</f>
        <v>692-27-071</v>
      </c>
      <c r="E65" s="5" t="s">
        <v>523</v>
      </c>
      <c r="F65" s="5" t="s">
        <v>5</v>
      </c>
      <c r="G65" s="22" t="s">
        <v>508</v>
      </c>
      <c r="H65" s="22">
        <v>0</v>
      </c>
      <c r="I65" s="5">
        <v>0</v>
      </c>
      <c r="J65" s="23">
        <v>1.2213794492355901</v>
      </c>
      <c r="K65" s="22" t="s">
        <v>582</v>
      </c>
      <c r="L65" s="5" t="s">
        <v>480</v>
      </c>
      <c r="M65" s="5" t="s">
        <v>482</v>
      </c>
      <c r="N65" s="5" t="s">
        <v>481</v>
      </c>
      <c r="O65" s="5" t="s">
        <v>483</v>
      </c>
      <c r="P65" s="5">
        <v>82</v>
      </c>
      <c r="Q65" s="5">
        <v>0</v>
      </c>
      <c r="R65" s="5">
        <v>0</v>
      </c>
      <c r="S65" s="5" t="s">
        <v>7</v>
      </c>
      <c r="T65" s="5">
        <v>82</v>
      </c>
      <c r="U65" s="24"/>
      <c r="V65" s="5" t="s">
        <v>694</v>
      </c>
    </row>
    <row r="66" spans="1:22" x14ac:dyDescent="0.3">
      <c r="A66" s="5">
        <v>65</v>
      </c>
      <c r="B66" s="5" t="s">
        <v>388</v>
      </c>
      <c r="C66" s="5">
        <v>95116</v>
      </c>
      <c r="D66" s="5" t="str">
        <f>"481-02-056"</f>
        <v>481-02-056</v>
      </c>
      <c r="E66" s="5" t="s">
        <v>560</v>
      </c>
      <c r="F66" s="5" t="s">
        <v>5</v>
      </c>
      <c r="G66" s="22" t="s">
        <v>508</v>
      </c>
      <c r="H66" s="22">
        <v>0</v>
      </c>
      <c r="I66" s="5">
        <v>0</v>
      </c>
      <c r="J66" s="23">
        <v>0.59507912851121703</v>
      </c>
      <c r="K66" s="22" t="s">
        <v>579</v>
      </c>
      <c r="L66" s="5" t="s">
        <v>480</v>
      </c>
      <c r="M66" s="5" t="s">
        <v>482</v>
      </c>
      <c r="N66" s="5" t="s">
        <v>481</v>
      </c>
      <c r="O66" s="5" t="s">
        <v>483</v>
      </c>
      <c r="P66" s="5">
        <v>47</v>
      </c>
      <c r="Q66" s="5">
        <v>0</v>
      </c>
      <c r="R66" s="5">
        <v>0</v>
      </c>
      <c r="S66" s="5" t="s">
        <v>7</v>
      </c>
      <c r="T66" s="5">
        <v>47</v>
      </c>
      <c r="U66" s="24"/>
      <c r="V66" s="5" t="s">
        <v>770</v>
      </c>
    </row>
    <row r="67" spans="1:22" x14ac:dyDescent="0.3">
      <c r="A67" s="5">
        <v>66</v>
      </c>
      <c r="B67" s="5" t="s">
        <v>212</v>
      </c>
      <c r="C67" s="5">
        <v>95124</v>
      </c>
      <c r="D67" s="5" t="str">
        <f>"527-33-018"</f>
        <v>527-33-018</v>
      </c>
      <c r="E67" s="5" t="s">
        <v>524</v>
      </c>
      <c r="F67" s="5" t="s">
        <v>5</v>
      </c>
      <c r="G67" s="22" t="s">
        <v>508</v>
      </c>
      <c r="H67" s="22">
        <v>0</v>
      </c>
      <c r="I67" s="5">
        <v>0</v>
      </c>
      <c r="J67" s="23">
        <v>0.50447526187477099</v>
      </c>
      <c r="K67" s="22" t="s">
        <v>580</v>
      </c>
      <c r="L67" s="5" t="s">
        <v>480</v>
      </c>
      <c r="M67" s="5" t="s">
        <v>482</v>
      </c>
      <c r="N67" s="5" t="s">
        <v>481</v>
      </c>
      <c r="O67" s="5" t="s">
        <v>483</v>
      </c>
      <c r="P67" s="5">
        <v>42</v>
      </c>
      <c r="Q67" s="5">
        <v>0</v>
      </c>
      <c r="R67" s="5">
        <v>0</v>
      </c>
      <c r="S67" s="5" t="s">
        <v>7</v>
      </c>
      <c r="T67" s="5">
        <v>42</v>
      </c>
      <c r="U67" s="24" t="s">
        <v>595</v>
      </c>
      <c r="V67" s="5" t="s">
        <v>721</v>
      </c>
    </row>
    <row r="68" spans="1:22" ht="28.8" x14ac:dyDescent="0.3">
      <c r="A68" s="5">
        <v>67</v>
      </c>
      <c r="B68" s="5" t="s">
        <v>416</v>
      </c>
      <c r="C68" s="5">
        <v>95134</v>
      </c>
      <c r="D68" s="5" t="str">
        <f>"097-07-028"</f>
        <v>097-07-028</v>
      </c>
      <c r="E68" s="5"/>
      <c r="F68" s="5" t="s">
        <v>46</v>
      </c>
      <c r="G68" s="22" t="s">
        <v>578</v>
      </c>
      <c r="H68" s="22">
        <v>0</v>
      </c>
      <c r="I68" s="5">
        <v>0</v>
      </c>
      <c r="J68" s="23">
        <v>2.6197612850877099</v>
      </c>
      <c r="K68" s="22" t="s">
        <v>577</v>
      </c>
      <c r="L68" s="5" t="s">
        <v>480</v>
      </c>
      <c r="M68" s="5" t="s">
        <v>482</v>
      </c>
      <c r="N68" s="5" t="s">
        <v>481</v>
      </c>
      <c r="O68" s="5" t="s">
        <v>847</v>
      </c>
      <c r="P68" s="5">
        <v>347</v>
      </c>
      <c r="Q68" s="5">
        <v>0</v>
      </c>
      <c r="R68" s="5">
        <v>0</v>
      </c>
      <c r="S68" s="5" t="s">
        <v>7</v>
      </c>
      <c r="T68" s="5">
        <v>347</v>
      </c>
      <c r="U68" s="24" t="s">
        <v>617</v>
      </c>
      <c r="V68" s="5" t="s">
        <v>796</v>
      </c>
    </row>
    <row r="69" spans="1:22" x14ac:dyDescent="0.3">
      <c r="A69" s="5">
        <v>68</v>
      </c>
      <c r="B69" s="5" t="s">
        <v>400</v>
      </c>
      <c r="C69" s="5">
        <v>95116</v>
      </c>
      <c r="D69" s="5" t="str">
        <f>"481-43-028"</f>
        <v>481-43-028</v>
      </c>
      <c r="E69" s="5"/>
      <c r="F69" s="5" t="s">
        <v>5</v>
      </c>
      <c r="G69" s="22" t="s">
        <v>508</v>
      </c>
      <c r="H69" s="22">
        <v>0</v>
      </c>
      <c r="I69" s="5">
        <v>0</v>
      </c>
      <c r="J69" s="23">
        <v>1.0341532321643701</v>
      </c>
      <c r="K69" s="22" t="s">
        <v>576</v>
      </c>
      <c r="L69" s="5" t="s">
        <v>480</v>
      </c>
      <c r="M69" s="5" t="s">
        <v>482</v>
      </c>
      <c r="N69" s="5" t="s">
        <v>481</v>
      </c>
      <c r="O69" s="5" t="s">
        <v>483</v>
      </c>
      <c r="P69" s="5">
        <v>84</v>
      </c>
      <c r="Q69" s="5">
        <v>0</v>
      </c>
      <c r="R69" s="5">
        <v>0</v>
      </c>
      <c r="S69" s="5" t="s">
        <v>7</v>
      </c>
      <c r="T69" s="5">
        <v>84</v>
      </c>
      <c r="U69" s="24"/>
      <c r="V69" s="5" t="s">
        <v>757</v>
      </c>
    </row>
    <row r="70" spans="1:22" ht="28.8" x14ac:dyDescent="0.3">
      <c r="A70" s="5">
        <v>69</v>
      </c>
      <c r="B70" s="5" t="s">
        <v>77</v>
      </c>
      <c r="C70" s="5">
        <v>95124</v>
      </c>
      <c r="D70" s="5" t="str">
        <f>"414-10-001"</f>
        <v>414-10-001</v>
      </c>
      <c r="E70" s="5"/>
      <c r="F70" s="5" t="s">
        <v>5</v>
      </c>
      <c r="G70" s="22" t="s">
        <v>508</v>
      </c>
      <c r="H70" s="22">
        <v>0</v>
      </c>
      <c r="I70" s="5">
        <v>0</v>
      </c>
      <c r="J70" s="23">
        <v>0.50886613707988704</v>
      </c>
      <c r="K70" s="22" t="s">
        <v>576</v>
      </c>
      <c r="L70" s="5" t="s">
        <v>480</v>
      </c>
      <c r="M70" s="5" t="s">
        <v>482</v>
      </c>
      <c r="N70" s="5" t="s">
        <v>481</v>
      </c>
      <c r="O70" s="5" t="s">
        <v>483</v>
      </c>
      <c r="P70" s="5">
        <v>32</v>
      </c>
      <c r="Q70" s="5">
        <v>0</v>
      </c>
      <c r="R70" s="5">
        <v>0</v>
      </c>
      <c r="S70" s="5" t="s">
        <v>7</v>
      </c>
      <c r="T70" s="5">
        <v>32</v>
      </c>
      <c r="U70" s="24" t="s">
        <v>607</v>
      </c>
      <c r="V70" s="5" t="s">
        <v>633</v>
      </c>
    </row>
    <row r="71" spans="1:22" x14ac:dyDescent="0.3">
      <c r="A71" s="5">
        <v>70</v>
      </c>
      <c r="B71" s="5" t="s">
        <v>367</v>
      </c>
      <c r="C71" s="5">
        <v>95132</v>
      </c>
      <c r="D71" s="5" t="str">
        <f>"092-06-031"</f>
        <v>092-06-031</v>
      </c>
      <c r="E71" s="5"/>
      <c r="F71" s="5" t="s">
        <v>29</v>
      </c>
      <c r="G71" s="22" t="s">
        <v>37</v>
      </c>
      <c r="H71" s="22">
        <v>0</v>
      </c>
      <c r="I71" s="5">
        <v>50</v>
      </c>
      <c r="J71" s="23">
        <v>0.840233549620783</v>
      </c>
      <c r="K71" s="22" t="s">
        <v>576</v>
      </c>
      <c r="L71" s="5" t="s">
        <v>480</v>
      </c>
      <c r="M71" s="5" t="s">
        <v>482</v>
      </c>
      <c r="N71" s="5" t="s">
        <v>481</v>
      </c>
      <c r="O71" s="5" t="s">
        <v>483</v>
      </c>
      <c r="P71" s="5">
        <v>60</v>
      </c>
      <c r="Q71" s="5">
        <v>0</v>
      </c>
      <c r="R71" s="5">
        <v>0</v>
      </c>
      <c r="S71" s="5" t="s">
        <v>7</v>
      </c>
      <c r="T71" s="5">
        <v>60</v>
      </c>
      <c r="U71" s="24"/>
      <c r="V71" s="5" t="s">
        <v>614</v>
      </c>
    </row>
    <row r="72" spans="1:22" x14ac:dyDescent="0.3">
      <c r="A72" s="5">
        <v>71</v>
      </c>
      <c r="B72" s="5" t="s">
        <v>159</v>
      </c>
      <c r="C72" s="5">
        <v>95117</v>
      </c>
      <c r="D72" s="5" t="str">
        <f>"303-37-126"</f>
        <v>303-37-126</v>
      </c>
      <c r="E72" s="5"/>
      <c r="F72" s="5" t="s">
        <v>29</v>
      </c>
      <c r="G72" s="22" t="s">
        <v>37</v>
      </c>
      <c r="H72" s="22">
        <v>0</v>
      </c>
      <c r="I72" s="5">
        <v>50</v>
      </c>
      <c r="J72" s="23">
        <v>0.63951072279936805</v>
      </c>
      <c r="K72" s="22" t="s">
        <v>576</v>
      </c>
      <c r="L72" s="5" t="s">
        <v>480</v>
      </c>
      <c r="M72" s="5" t="s">
        <v>482</v>
      </c>
      <c r="N72" s="5" t="s">
        <v>481</v>
      </c>
      <c r="O72" s="5" t="s">
        <v>483</v>
      </c>
      <c r="P72" s="5">
        <v>32</v>
      </c>
      <c r="Q72" s="5">
        <v>0</v>
      </c>
      <c r="R72" s="5">
        <v>0</v>
      </c>
      <c r="S72" s="5" t="s">
        <v>7</v>
      </c>
      <c r="T72" s="5">
        <v>32</v>
      </c>
      <c r="U72" s="24"/>
      <c r="V72" s="5" t="s">
        <v>692</v>
      </c>
    </row>
    <row r="73" spans="1:22" x14ac:dyDescent="0.3">
      <c r="A73" s="5">
        <v>72</v>
      </c>
      <c r="B73" s="5" t="s">
        <v>246</v>
      </c>
      <c r="C73" s="5">
        <v>95110</v>
      </c>
      <c r="D73" s="5" t="str">
        <f>"259-29-020"</f>
        <v>259-29-020</v>
      </c>
      <c r="E73" s="5" t="s">
        <v>529</v>
      </c>
      <c r="F73" s="5" t="s">
        <v>20</v>
      </c>
      <c r="G73" s="22" t="s">
        <v>584</v>
      </c>
      <c r="H73" s="22">
        <v>0</v>
      </c>
      <c r="I73" s="5">
        <v>0</v>
      </c>
      <c r="J73" s="23">
        <v>0.333686736480857</v>
      </c>
      <c r="K73" s="22" t="s">
        <v>580</v>
      </c>
      <c r="L73" s="5" t="s">
        <v>480</v>
      </c>
      <c r="M73" s="5" t="s">
        <v>845</v>
      </c>
      <c r="N73" s="5" t="s">
        <v>481</v>
      </c>
      <c r="O73" s="5" t="s">
        <v>483</v>
      </c>
      <c r="P73" s="5">
        <v>39</v>
      </c>
      <c r="Q73" s="5"/>
      <c r="R73" s="5">
        <v>0</v>
      </c>
      <c r="S73" s="5" t="s">
        <v>7</v>
      </c>
      <c r="T73" s="5">
        <v>39</v>
      </c>
      <c r="U73" s="24"/>
      <c r="V73" s="5" t="s">
        <v>830</v>
      </c>
    </row>
    <row r="74" spans="1:22" x14ac:dyDescent="0.3">
      <c r="A74" s="5">
        <v>73</v>
      </c>
      <c r="B74" s="5" t="s">
        <v>8</v>
      </c>
      <c r="C74" s="5">
        <v>95126</v>
      </c>
      <c r="D74" s="5" t="str">
        <f>"261-01-106"</f>
        <v>261-01-106</v>
      </c>
      <c r="E74" s="5"/>
      <c r="F74" s="5" t="s">
        <v>9</v>
      </c>
      <c r="G74" s="22" t="s">
        <v>18</v>
      </c>
      <c r="H74" s="22">
        <v>55</v>
      </c>
      <c r="I74" s="5">
        <v>250</v>
      </c>
      <c r="J74" s="23">
        <v>0.94693806874862996</v>
      </c>
      <c r="K74" s="22" t="s">
        <v>576</v>
      </c>
      <c r="L74" s="5" t="s">
        <v>480</v>
      </c>
      <c r="M74" s="5" t="s">
        <v>482</v>
      </c>
      <c r="N74" s="5" t="s">
        <v>481</v>
      </c>
      <c r="O74" s="5" t="s">
        <v>847</v>
      </c>
      <c r="P74" s="5">
        <v>106</v>
      </c>
      <c r="Q74" s="5">
        <v>0</v>
      </c>
      <c r="R74" s="5">
        <v>0</v>
      </c>
      <c r="S74" s="5" t="s">
        <v>7</v>
      </c>
      <c r="T74" s="5">
        <v>106</v>
      </c>
      <c r="U74" s="24"/>
      <c r="V74" s="5" t="s">
        <v>597</v>
      </c>
    </row>
    <row r="75" spans="1:22" ht="28.8" x14ac:dyDescent="0.3">
      <c r="A75" s="5">
        <v>74</v>
      </c>
      <c r="B75" s="5" t="s">
        <v>206</v>
      </c>
      <c r="C75" s="5">
        <v>95132</v>
      </c>
      <c r="D75" s="5" t="str">
        <f>"245-05-015"</f>
        <v>245-05-015</v>
      </c>
      <c r="E75" s="5"/>
      <c r="F75" s="5" t="s">
        <v>5</v>
      </c>
      <c r="G75" s="22" t="s">
        <v>500</v>
      </c>
      <c r="H75" s="22">
        <v>0</v>
      </c>
      <c r="I75" s="5">
        <v>0</v>
      </c>
      <c r="J75" s="23">
        <v>1.48664733897382</v>
      </c>
      <c r="K75" s="22" t="s">
        <v>577</v>
      </c>
      <c r="L75" s="5" t="s">
        <v>480</v>
      </c>
      <c r="M75" s="5" t="s">
        <v>482</v>
      </c>
      <c r="N75" s="5" t="s">
        <v>481</v>
      </c>
      <c r="O75" s="5" t="s">
        <v>483</v>
      </c>
      <c r="P75" s="5">
        <v>149</v>
      </c>
      <c r="Q75" s="5">
        <v>0</v>
      </c>
      <c r="R75" s="5">
        <v>0</v>
      </c>
      <c r="S75" s="5" t="s">
        <v>7</v>
      </c>
      <c r="T75" s="5">
        <v>149</v>
      </c>
      <c r="U75" s="24" t="s">
        <v>607</v>
      </c>
      <c r="V75" s="5" t="s">
        <v>600</v>
      </c>
    </row>
    <row r="76" spans="1:22" x14ac:dyDescent="0.3">
      <c r="A76" s="5">
        <v>75</v>
      </c>
      <c r="B76" s="5" t="s">
        <v>310</v>
      </c>
      <c r="C76" s="5">
        <v>95125</v>
      </c>
      <c r="D76" s="5" t="str">
        <f>"284-17-023"</f>
        <v>284-17-023</v>
      </c>
      <c r="E76" s="5" t="s">
        <v>518</v>
      </c>
      <c r="F76" s="5" t="s">
        <v>5</v>
      </c>
      <c r="G76" s="22" t="s">
        <v>500</v>
      </c>
      <c r="H76" s="22">
        <v>0</v>
      </c>
      <c r="I76" s="5">
        <v>0</v>
      </c>
      <c r="J76" s="23">
        <v>0.85849088778343097</v>
      </c>
      <c r="K76" s="22" t="s">
        <v>576</v>
      </c>
      <c r="L76" s="5" t="s">
        <v>480</v>
      </c>
      <c r="M76" s="5" t="s">
        <v>482</v>
      </c>
      <c r="N76" s="5" t="s">
        <v>481</v>
      </c>
      <c r="O76" s="5" t="s">
        <v>483</v>
      </c>
      <c r="P76" s="5">
        <v>61</v>
      </c>
      <c r="Q76" s="5">
        <v>0</v>
      </c>
      <c r="R76" s="5">
        <v>0</v>
      </c>
      <c r="S76" s="5" t="s">
        <v>7</v>
      </c>
      <c r="T76" s="5">
        <v>61</v>
      </c>
      <c r="U76" s="24"/>
      <c r="V76" s="5" t="s">
        <v>761</v>
      </c>
    </row>
    <row r="77" spans="1:22" ht="28.8" x14ac:dyDescent="0.3">
      <c r="A77" s="5">
        <v>76</v>
      </c>
      <c r="B77" s="5" t="s">
        <v>66</v>
      </c>
      <c r="C77" s="5">
        <v>95135</v>
      </c>
      <c r="D77" s="5" t="str">
        <f>"659-05-038"</f>
        <v>659-05-038</v>
      </c>
      <c r="E77" s="5"/>
      <c r="F77" s="5" t="s">
        <v>5</v>
      </c>
      <c r="G77" s="22" t="s">
        <v>508</v>
      </c>
      <c r="H77" s="22">
        <v>0</v>
      </c>
      <c r="I77" s="5">
        <v>0</v>
      </c>
      <c r="J77" s="23">
        <v>1.3834144654556</v>
      </c>
      <c r="K77" s="22" t="s">
        <v>579</v>
      </c>
      <c r="L77" s="5" t="s">
        <v>480</v>
      </c>
      <c r="M77" s="5" t="s">
        <v>482</v>
      </c>
      <c r="N77" s="5" t="s">
        <v>481</v>
      </c>
      <c r="O77" s="5" t="s">
        <v>483</v>
      </c>
      <c r="P77" s="5">
        <v>93</v>
      </c>
      <c r="Q77" s="5">
        <v>0</v>
      </c>
      <c r="R77" s="5">
        <v>0</v>
      </c>
      <c r="S77" s="5" t="s">
        <v>7</v>
      </c>
      <c r="T77" s="5">
        <v>93</v>
      </c>
      <c r="U77" s="24" t="s">
        <v>607</v>
      </c>
      <c r="V77" s="5" t="s">
        <v>623</v>
      </c>
    </row>
    <row r="78" spans="1:22" x14ac:dyDescent="0.3">
      <c r="A78" s="5">
        <v>77</v>
      </c>
      <c r="B78" s="5" t="s">
        <v>366</v>
      </c>
      <c r="C78" s="5">
        <v>95133</v>
      </c>
      <c r="D78" s="5" t="str">
        <f>"254-29-018"</f>
        <v>254-29-018</v>
      </c>
      <c r="E78" s="5" t="s">
        <v>556</v>
      </c>
      <c r="F78" s="5" t="s">
        <v>5</v>
      </c>
      <c r="G78" s="22" t="s">
        <v>508</v>
      </c>
      <c r="H78" s="22">
        <v>0</v>
      </c>
      <c r="I78" s="5">
        <v>0</v>
      </c>
      <c r="J78" s="23">
        <v>0.92710175854358801</v>
      </c>
      <c r="K78" s="22" t="s">
        <v>576</v>
      </c>
      <c r="L78" s="5" t="s">
        <v>480</v>
      </c>
      <c r="M78" s="5" t="s">
        <v>482</v>
      </c>
      <c r="N78" s="5" t="s">
        <v>481</v>
      </c>
      <c r="O78" s="5" t="s">
        <v>483</v>
      </c>
      <c r="P78" s="5">
        <v>66</v>
      </c>
      <c r="Q78" s="5">
        <v>0</v>
      </c>
      <c r="R78" s="5">
        <v>0</v>
      </c>
      <c r="S78" s="5" t="s">
        <v>7</v>
      </c>
      <c r="T78" s="5">
        <v>66</v>
      </c>
      <c r="U78" s="24" t="s">
        <v>595</v>
      </c>
      <c r="V78" s="5" t="s">
        <v>647</v>
      </c>
    </row>
    <row r="79" spans="1:22" x14ac:dyDescent="0.3">
      <c r="A79" s="5">
        <v>78</v>
      </c>
      <c r="B79" s="5" t="s">
        <v>41</v>
      </c>
      <c r="C79" s="5">
        <v>95133</v>
      </c>
      <c r="D79" s="5" t="str">
        <f>"254-80-021"</f>
        <v>254-80-021</v>
      </c>
      <c r="E79" s="5" t="s">
        <v>491</v>
      </c>
      <c r="F79" s="5" t="s">
        <v>5</v>
      </c>
      <c r="G79" s="22" t="s">
        <v>508</v>
      </c>
      <c r="H79" s="22">
        <v>0</v>
      </c>
      <c r="I79" s="5">
        <v>0</v>
      </c>
      <c r="J79" s="23">
        <v>1.3402974934302501</v>
      </c>
      <c r="K79" s="22" t="s">
        <v>577</v>
      </c>
      <c r="L79" s="5" t="s">
        <v>480</v>
      </c>
      <c r="M79" s="5" t="s">
        <v>482</v>
      </c>
      <c r="N79" s="5" t="s">
        <v>481</v>
      </c>
      <c r="O79" s="5" t="s">
        <v>483</v>
      </c>
      <c r="P79" s="5">
        <v>141</v>
      </c>
      <c r="Q79" s="5">
        <v>0</v>
      </c>
      <c r="R79" s="5">
        <v>0</v>
      </c>
      <c r="S79" s="5" t="s">
        <v>7</v>
      </c>
      <c r="T79" s="5">
        <v>141</v>
      </c>
      <c r="U79" s="24" t="s">
        <v>595</v>
      </c>
      <c r="V79" s="5" t="s">
        <v>614</v>
      </c>
    </row>
    <row r="80" spans="1:22" ht="28.8" x14ac:dyDescent="0.3">
      <c r="A80" s="5">
        <v>79</v>
      </c>
      <c r="B80" s="5" t="s">
        <v>181</v>
      </c>
      <c r="C80" s="5">
        <v>95129</v>
      </c>
      <c r="D80" s="5" t="str">
        <f>"381-12-111"</f>
        <v>381-12-111</v>
      </c>
      <c r="E80" s="5"/>
      <c r="F80" s="5" t="s">
        <v>5</v>
      </c>
      <c r="G80" s="22" t="s">
        <v>508</v>
      </c>
      <c r="H80" s="22">
        <v>0</v>
      </c>
      <c r="I80" s="5">
        <v>0</v>
      </c>
      <c r="J80" s="23">
        <v>0.91290776846993005</v>
      </c>
      <c r="K80" s="22" t="s">
        <v>576</v>
      </c>
      <c r="L80" s="5" t="s">
        <v>480</v>
      </c>
      <c r="M80" s="5" t="s">
        <v>482</v>
      </c>
      <c r="N80" s="5" t="s">
        <v>481</v>
      </c>
      <c r="O80" s="5" t="s">
        <v>483</v>
      </c>
      <c r="P80" s="5">
        <v>58</v>
      </c>
      <c r="Q80" s="5">
        <v>0</v>
      </c>
      <c r="R80" s="5">
        <v>0</v>
      </c>
      <c r="S80" s="5" t="s">
        <v>7</v>
      </c>
      <c r="T80" s="5">
        <v>58</v>
      </c>
      <c r="U80" s="24" t="s">
        <v>607</v>
      </c>
      <c r="V80" s="5" t="s">
        <v>706</v>
      </c>
    </row>
    <row r="81" spans="1:22" x14ac:dyDescent="0.3">
      <c r="A81" s="5">
        <v>80</v>
      </c>
      <c r="B81" s="5" t="s">
        <v>390</v>
      </c>
      <c r="C81" s="5">
        <v>95116</v>
      </c>
      <c r="D81" s="5" t="str">
        <f>"481-08-015"</f>
        <v>481-08-015</v>
      </c>
      <c r="E81" s="5" t="s">
        <v>561</v>
      </c>
      <c r="F81" s="5" t="s">
        <v>9</v>
      </c>
      <c r="G81" s="22" t="s">
        <v>585</v>
      </c>
      <c r="H81" s="22">
        <v>0</v>
      </c>
      <c r="I81" s="5">
        <v>250</v>
      </c>
      <c r="J81" s="23">
        <v>1.22297764045601</v>
      </c>
      <c r="K81" s="22" t="s">
        <v>576</v>
      </c>
      <c r="L81" s="5" t="s">
        <v>480</v>
      </c>
      <c r="M81" s="5" t="s">
        <v>482</v>
      </c>
      <c r="N81" s="5" t="s">
        <v>481</v>
      </c>
      <c r="O81" s="5" t="s">
        <v>847</v>
      </c>
      <c r="P81" s="5">
        <v>151</v>
      </c>
      <c r="Q81" s="5">
        <v>0</v>
      </c>
      <c r="R81" s="5">
        <v>0</v>
      </c>
      <c r="S81" s="5" t="s">
        <v>7</v>
      </c>
      <c r="T81" s="5">
        <v>151</v>
      </c>
      <c r="U81" s="24"/>
      <c r="V81" s="5" t="s">
        <v>790</v>
      </c>
    </row>
    <row r="82" spans="1:22" x14ac:dyDescent="0.3">
      <c r="A82" s="5">
        <v>81</v>
      </c>
      <c r="B82" s="5" t="s">
        <v>437</v>
      </c>
      <c r="C82" s="5">
        <v>95125</v>
      </c>
      <c r="D82" s="5" t="str">
        <f>"456-09-016"</f>
        <v>456-09-016</v>
      </c>
      <c r="E82" s="5" t="s">
        <v>569</v>
      </c>
      <c r="F82" s="5" t="s">
        <v>50</v>
      </c>
      <c r="G82" s="22" t="s">
        <v>96</v>
      </c>
      <c r="H82" s="22">
        <v>30</v>
      </c>
      <c r="I82" s="5">
        <v>95</v>
      </c>
      <c r="J82" s="23">
        <v>4.9468777802857096</v>
      </c>
      <c r="K82" s="22" t="s">
        <v>581</v>
      </c>
      <c r="L82" s="5" t="s">
        <v>480</v>
      </c>
      <c r="M82" s="5" t="s">
        <v>845</v>
      </c>
      <c r="N82" s="5" t="s">
        <v>481</v>
      </c>
      <c r="O82" s="5" t="s">
        <v>847</v>
      </c>
      <c r="P82" s="5">
        <v>351</v>
      </c>
      <c r="Q82" s="5">
        <v>0</v>
      </c>
      <c r="R82" s="5">
        <v>0</v>
      </c>
      <c r="S82" s="5" t="s">
        <v>7</v>
      </c>
      <c r="T82" s="5">
        <v>351</v>
      </c>
      <c r="U82" s="24"/>
      <c r="V82" s="5" t="s">
        <v>694</v>
      </c>
    </row>
    <row r="83" spans="1:22" x14ac:dyDescent="0.3">
      <c r="A83" s="5">
        <v>82</v>
      </c>
      <c r="B83" s="5" t="s">
        <v>290</v>
      </c>
      <c r="C83" s="5">
        <v>95126</v>
      </c>
      <c r="D83" s="5" t="str">
        <f>"261-28-078"</f>
        <v>261-28-078</v>
      </c>
      <c r="E83" s="5"/>
      <c r="F83" s="5" t="s">
        <v>5</v>
      </c>
      <c r="G83" s="22" t="s">
        <v>500</v>
      </c>
      <c r="H83" s="22">
        <v>0</v>
      </c>
      <c r="I83" s="5">
        <v>0</v>
      </c>
      <c r="J83" s="23">
        <v>0.59665380709953897</v>
      </c>
      <c r="K83" s="22" t="s">
        <v>576</v>
      </c>
      <c r="L83" s="5" t="s">
        <v>480</v>
      </c>
      <c r="M83" s="5" t="s">
        <v>482</v>
      </c>
      <c r="N83" s="5" t="s">
        <v>481</v>
      </c>
      <c r="O83" s="5" t="s">
        <v>483</v>
      </c>
      <c r="P83" s="5">
        <v>57</v>
      </c>
      <c r="Q83" s="5">
        <v>0</v>
      </c>
      <c r="R83" s="5">
        <v>0</v>
      </c>
      <c r="S83" s="5" t="s">
        <v>7</v>
      </c>
      <c r="T83" s="5">
        <v>57</v>
      </c>
      <c r="U83" s="24"/>
      <c r="V83" s="5" t="s">
        <v>751</v>
      </c>
    </row>
    <row r="84" spans="1:22" ht="28.8" x14ac:dyDescent="0.3">
      <c r="A84" s="5">
        <v>83</v>
      </c>
      <c r="B84" s="5" t="s">
        <v>172</v>
      </c>
      <c r="C84" s="5">
        <v>95129</v>
      </c>
      <c r="D84" s="5" t="str">
        <f>"372-24-027"</f>
        <v>372-24-027</v>
      </c>
      <c r="E84" s="5"/>
      <c r="F84" s="5" t="s">
        <v>5</v>
      </c>
      <c r="G84" s="22" t="s">
        <v>508</v>
      </c>
      <c r="H84" s="22">
        <v>0</v>
      </c>
      <c r="I84" s="5">
        <v>0</v>
      </c>
      <c r="J84" s="23">
        <v>0.54539956790917099</v>
      </c>
      <c r="K84" s="22" t="s">
        <v>576</v>
      </c>
      <c r="L84" s="5" t="s">
        <v>480</v>
      </c>
      <c r="M84" s="5" t="s">
        <v>482</v>
      </c>
      <c r="N84" s="5" t="s">
        <v>481</v>
      </c>
      <c r="O84" s="5" t="s">
        <v>483</v>
      </c>
      <c r="P84" s="5">
        <v>35</v>
      </c>
      <c r="Q84" s="5">
        <v>0</v>
      </c>
      <c r="R84" s="5">
        <v>0</v>
      </c>
      <c r="S84" s="5" t="s">
        <v>7</v>
      </c>
      <c r="T84" s="5">
        <v>35</v>
      </c>
      <c r="U84" s="24" t="s">
        <v>607</v>
      </c>
      <c r="V84" s="5" t="s">
        <v>701</v>
      </c>
    </row>
    <row r="85" spans="1:22" ht="28.8" x14ac:dyDescent="0.3">
      <c r="A85" s="5">
        <v>84</v>
      </c>
      <c r="B85" s="5" t="s">
        <v>170</v>
      </c>
      <c r="C85" s="5">
        <v>95129</v>
      </c>
      <c r="D85" s="5" t="str">
        <f>"359-34-002"</f>
        <v>359-34-002</v>
      </c>
      <c r="E85" s="5"/>
      <c r="F85" s="5" t="s">
        <v>5</v>
      </c>
      <c r="G85" s="22" t="s">
        <v>508</v>
      </c>
      <c r="H85" s="22">
        <v>0</v>
      </c>
      <c r="I85" s="5">
        <v>0</v>
      </c>
      <c r="J85" s="23">
        <v>0.92067639769927401</v>
      </c>
      <c r="K85" s="22" t="s">
        <v>576</v>
      </c>
      <c r="L85" s="5" t="s">
        <v>480</v>
      </c>
      <c r="M85" s="5" t="s">
        <v>482</v>
      </c>
      <c r="N85" s="5" t="s">
        <v>481</v>
      </c>
      <c r="O85" s="5" t="s">
        <v>483</v>
      </c>
      <c r="P85" s="5">
        <v>59</v>
      </c>
      <c r="Q85" s="5">
        <v>0</v>
      </c>
      <c r="R85" s="5">
        <v>0</v>
      </c>
      <c r="S85" s="5" t="s">
        <v>7</v>
      </c>
      <c r="T85" s="5">
        <v>59</v>
      </c>
      <c r="U85" s="24" t="s">
        <v>607</v>
      </c>
      <c r="V85" s="5" t="s">
        <v>699</v>
      </c>
    </row>
    <row r="86" spans="1:22" ht="28.8" x14ac:dyDescent="0.3">
      <c r="A86" s="5">
        <v>85</v>
      </c>
      <c r="B86" s="5" t="s">
        <v>331</v>
      </c>
      <c r="C86" s="5">
        <v>95129</v>
      </c>
      <c r="D86" s="5" t="str">
        <f>"294-41-005"</f>
        <v>294-41-005</v>
      </c>
      <c r="E86" s="5" t="s">
        <v>508</v>
      </c>
      <c r="F86" s="5" t="s">
        <v>9</v>
      </c>
      <c r="G86" s="22" t="s">
        <v>18</v>
      </c>
      <c r="H86" s="22">
        <v>65</v>
      </c>
      <c r="I86" s="5">
        <v>250</v>
      </c>
      <c r="J86" s="23">
        <v>5.16504838821146</v>
      </c>
      <c r="K86" s="22" t="s">
        <v>576</v>
      </c>
      <c r="L86" s="5" t="s">
        <v>480</v>
      </c>
      <c r="M86" s="5" t="s">
        <v>482</v>
      </c>
      <c r="N86" s="5" t="s">
        <v>481</v>
      </c>
      <c r="O86" s="5" t="s">
        <v>483</v>
      </c>
      <c r="P86" s="5">
        <v>643</v>
      </c>
      <c r="Q86" s="5">
        <v>0</v>
      </c>
      <c r="R86" s="5">
        <v>0</v>
      </c>
      <c r="S86" s="5" t="s">
        <v>7</v>
      </c>
      <c r="T86" s="5">
        <v>643</v>
      </c>
      <c r="U86" s="24" t="s">
        <v>607</v>
      </c>
      <c r="V86" s="5" t="s">
        <v>772</v>
      </c>
    </row>
    <row r="87" spans="1:22" x14ac:dyDescent="0.3">
      <c r="A87" s="5">
        <v>86</v>
      </c>
      <c r="B87" s="5" t="s">
        <v>228</v>
      </c>
      <c r="C87" s="5">
        <v>95112</v>
      </c>
      <c r="D87" s="5" t="str">
        <f>"249-10-017"</f>
        <v>249-10-017</v>
      </c>
      <c r="E87" s="5"/>
      <c r="F87" s="5" t="s">
        <v>29</v>
      </c>
      <c r="G87" s="22" t="s">
        <v>37</v>
      </c>
      <c r="H87" s="22">
        <v>0</v>
      </c>
      <c r="I87" s="5">
        <v>50</v>
      </c>
      <c r="J87" s="23">
        <v>1.0074336782576701</v>
      </c>
      <c r="K87" s="22" t="s">
        <v>576</v>
      </c>
      <c r="L87" s="5" t="s">
        <v>480</v>
      </c>
      <c r="M87" s="5" t="s">
        <v>482</v>
      </c>
      <c r="N87" s="5" t="s">
        <v>481</v>
      </c>
      <c r="O87" s="5" t="s">
        <v>483</v>
      </c>
      <c r="P87" s="5">
        <v>0</v>
      </c>
      <c r="Q87" s="5">
        <v>26</v>
      </c>
      <c r="R87" s="5">
        <v>0</v>
      </c>
      <c r="S87" s="5" t="s">
        <v>21</v>
      </c>
      <c r="T87" s="5">
        <v>26</v>
      </c>
      <c r="U87" s="24"/>
      <c r="V87" s="5" t="s">
        <v>731</v>
      </c>
    </row>
    <row r="88" spans="1:22" x14ac:dyDescent="0.3">
      <c r="A88" s="5">
        <v>87</v>
      </c>
      <c r="B88" s="5" t="s">
        <v>306</v>
      </c>
      <c r="C88" s="5">
        <v>95128</v>
      </c>
      <c r="D88" s="5" t="str">
        <f>"274-51-016"</f>
        <v>274-51-016</v>
      </c>
      <c r="E88" s="5"/>
      <c r="F88" s="5" t="s">
        <v>5</v>
      </c>
      <c r="G88" s="22" t="s">
        <v>508</v>
      </c>
      <c r="H88" s="22">
        <v>0</v>
      </c>
      <c r="I88" s="5">
        <v>0</v>
      </c>
      <c r="J88" s="23">
        <v>0.94853749324822501</v>
      </c>
      <c r="K88" s="22" t="s">
        <v>581</v>
      </c>
      <c r="L88" s="5" t="s">
        <v>480</v>
      </c>
      <c r="M88" s="5" t="s">
        <v>482</v>
      </c>
      <c r="N88" s="5" t="s">
        <v>481</v>
      </c>
      <c r="O88" s="5" t="s">
        <v>483</v>
      </c>
      <c r="P88" s="5">
        <v>74</v>
      </c>
      <c r="Q88" s="5">
        <v>0</v>
      </c>
      <c r="R88" s="5">
        <v>0</v>
      </c>
      <c r="S88" s="5" t="s">
        <v>7</v>
      </c>
      <c r="T88" s="5">
        <v>74</v>
      </c>
      <c r="U88" s="24" t="s">
        <v>595</v>
      </c>
      <c r="V88" s="5" t="s">
        <v>759</v>
      </c>
    </row>
    <row r="89" spans="1:22" x14ac:dyDescent="0.3">
      <c r="A89" s="5">
        <v>88</v>
      </c>
      <c r="B89" s="5" t="s">
        <v>171</v>
      </c>
      <c r="C89" s="5">
        <v>95129</v>
      </c>
      <c r="D89" s="5" t="str">
        <f>"372-20-025"</f>
        <v>372-20-025</v>
      </c>
      <c r="E89" s="5"/>
      <c r="F89" s="5" t="s">
        <v>5</v>
      </c>
      <c r="G89" s="22" t="s">
        <v>508</v>
      </c>
      <c r="H89" s="22">
        <v>0</v>
      </c>
      <c r="I89" s="5">
        <v>0</v>
      </c>
      <c r="J89" s="23">
        <v>1.17187718876846</v>
      </c>
      <c r="K89" s="22" t="s">
        <v>576</v>
      </c>
      <c r="L89" s="5" t="s">
        <v>480</v>
      </c>
      <c r="M89" s="5" t="s">
        <v>482</v>
      </c>
      <c r="N89" s="5" t="s">
        <v>481</v>
      </c>
      <c r="O89" s="5" t="s">
        <v>483</v>
      </c>
      <c r="P89" s="5">
        <v>115</v>
      </c>
      <c r="Q89" s="5">
        <v>0</v>
      </c>
      <c r="R89" s="5">
        <v>0</v>
      </c>
      <c r="S89" s="5" t="s">
        <v>7</v>
      </c>
      <c r="T89" s="5">
        <v>115</v>
      </c>
      <c r="U89" s="24" t="s">
        <v>595</v>
      </c>
      <c r="V89" s="5" t="s">
        <v>700</v>
      </c>
    </row>
    <row r="90" spans="1:22" ht="28.8" x14ac:dyDescent="0.3">
      <c r="A90" s="5">
        <v>89</v>
      </c>
      <c r="B90" s="5" t="s">
        <v>180</v>
      </c>
      <c r="C90" s="5">
        <v>95129</v>
      </c>
      <c r="D90" s="5" t="str">
        <f>"381-12-128"</f>
        <v>381-12-128</v>
      </c>
      <c r="E90" s="5"/>
      <c r="F90" s="5" t="s">
        <v>5</v>
      </c>
      <c r="G90" s="22" t="s">
        <v>508</v>
      </c>
      <c r="H90" s="22">
        <v>0</v>
      </c>
      <c r="I90" s="5">
        <v>0</v>
      </c>
      <c r="J90" s="23">
        <v>1.1497175173445899</v>
      </c>
      <c r="K90" s="22" t="s">
        <v>576</v>
      </c>
      <c r="L90" s="5" t="s">
        <v>480</v>
      </c>
      <c r="M90" s="5" t="s">
        <v>482</v>
      </c>
      <c r="N90" s="5" t="s">
        <v>481</v>
      </c>
      <c r="O90" s="5" t="s">
        <v>483</v>
      </c>
      <c r="P90" s="5">
        <v>77</v>
      </c>
      <c r="Q90" s="5">
        <v>0</v>
      </c>
      <c r="R90" s="5">
        <v>0</v>
      </c>
      <c r="S90" s="5" t="s">
        <v>7</v>
      </c>
      <c r="T90" s="5">
        <v>77</v>
      </c>
      <c r="U90" s="24" t="s">
        <v>607</v>
      </c>
      <c r="V90" s="5" t="s">
        <v>605</v>
      </c>
    </row>
    <row r="91" spans="1:22" ht="28.8" x14ac:dyDescent="0.3">
      <c r="A91" s="5">
        <v>90</v>
      </c>
      <c r="B91" s="5" t="s">
        <v>133</v>
      </c>
      <c r="C91" s="5">
        <v>95129</v>
      </c>
      <c r="D91" s="5" t="str">
        <f>"294-42-004"</f>
        <v>294-42-004</v>
      </c>
      <c r="E91" s="5" t="s">
        <v>508</v>
      </c>
      <c r="F91" s="5" t="s">
        <v>9</v>
      </c>
      <c r="G91" s="22" t="s">
        <v>18</v>
      </c>
      <c r="H91" s="22">
        <v>65</v>
      </c>
      <c r="I91" s="5">
        <v>250</v>
      </c>
      <c r="J91" s="23">
        <v>0.57621365936027602</v>
      </c>
      <c r="K91" s="22" t="s">
        <v>580</v>
      </c>
      <c r="L91" s="5" t="s">
        <v>480</v>
      </c>
      <c r="M91" s="5" t="s">
        <v>482</v>
      </c>
      <c r="N91" s="5" t="s">
        <v>481</v>
      </c>
      <c r="O91" s="5" t="s">
        <v>483</v>
      </c>
      <c r="P91" s="5">
        <v>72</v>
      </c>
      <c r="Q91" s="5">
        <v>0</v>
      </c>
      <c r="R91" s="5">
        <v>0</v>
      </c>
      <c r="S91" s="5" t="s">
        <v>7</v>
      </c>
      <c r="T91" s="5">
        <v>72</v>
      </c>
      <c r="U91" s="24" t="s">
        <v>607</v>
      </c>
      <c r="V91" s="5" t="s">
        <v>674</v>
      </c>
    </row>
    <row r="92" spans="1:22" x14ac:dyDescent="0.3">
      <c r="A92" s="5">
        <v>91</v>
      </c>
      <c r="B92" s="5" t="s">
        <v>78</v>
      </c>
      <c r="C92" s="5">
        <v>95134</v>
      </c>
      <c r="D92" s="5" t="str">
        <f>"097-07-063"</f>
        <v>097-07-063</v>
      </c>
      <c r="E92" s="5"/>
      <c r="F92" s="5" t="s">
        <v>46</v>
      </c>
      <c r="G92" s="22" t="s">
        <v>578</v>
      </c>
      <c r="H92" s="22">
        <v>0</v>
      </c>
      <c r="I92" s="5">
        <v>0</v>
      </c>
      <c r="J92" s="23">
        <v>4.0985017265690704</v>
      </c>
      <c r="K92" s="22" t="s">
        <v>577</v>
      </c>
      <c r="L92" s="5" t="s">
        <v>480</v>
      </c>
      <c r="M92" s="5" t="s">
        <v>482</v>
      </c>
      <c r="N92" s="5" t="s">
        <v>481</v>
      </c>
      <c r="O92" s="5" t="s">
        <v>483</v>
      </c>
      <c r="P92" s="5">
        <v>543</v>
      </c>
      <c r="Q92" s="5">
        <v>0</v>
      </c>
      <c r="R92" s="5">
        <v>0</v>
      </c>
      <c r="S92" s="5" t="s">
        <v>7</v>
      </c>
      <c r="T92" s="5">
        <v>543</v>
      </c>
      <c r="U92" s="24"/>
      <c r="V92" s="5" t="s">
        <v>694</v>
      </c>
    </row>
    <row r="93" spans="1:22" x14ac:dyDescent="0.3">
      <c r="A93" s="5">
        <v>92</v>
      </c>
      <c r="B93" s="5" t="s">
        <v>301</v>
      </c>
      <c r="C93" s="5">
        <v>95126</v>
      </c>
      <c r="D93" s="5" t="str">
        <f>"274-07-041"</f>
        <v>274-07-041</v>
      </c>
      <c r="E93" s="5"/>
      <c r="F93" s="5" t="s">
        <v>5</v>
      </c>
      <c r="G93" s="22" t="s">
        <v>508</v>
      </c>
      <c r="H93" s="22">
        <v>0</v>
      </c>
      <c r="I93" s="5">
        <v>0</v>
      </c>
      <c r="J93" s="23">
        <v>0.62809287577678496</v>
      </c>
      <c r="K93" s="22" t="s">
        <v>576</v>
      </c>
      <c r="L93" s="5" t="s">
        <v>480</v>
      </c>
      <c r="M93" s="5" t="s">
        <v>482</v>
      </c>
      <c r="N93" s="5" t="s">
        <v>481</v>
      </c>
      <c r="O93" s="5" t="s">
        <v>483</v>
      </c>
      <c r="P93" s="5">
        <v>49</v>
      </c>
      <c r="Q93" s="5">
        <v>0</v>
      </c>
      <c r="R93" s="5">
        <v>0</v>
      </c>
      <c r="S93" s="5" t="s">
        <v>7</v>
      </c>
      <c r="T93" s="5">
        <v>49</v>
      </c>
      <c r="U93" s="24"/>
      <c r="V93" s="5" t="s">
        <v>755</v>
      </c>
    </row>
    <row r="94" spans="1:22" ht="28.8" x14ac:dyDescent="0.3">
      <c r="A94" s="5">
        <v>93</v>
      </c>
      <c r="B94" s="5" t="s">
        <v>187</v>
      </c>
      <c r="C94" s="5">
        <v>95127</v>
      </c>
      <c r="D94" s="5" t="str">
        <f>"599-37-042"</f>
        <v>599-37-042</v>
      </c>
      <c r="E94" s="5" t="s">
        <v>519</v>
      </c>
      <c r="F94" s="5" t="s">
        <v>5</v>
      </c>
      <c r="G94" s="22" t="s">
        <v>508</v>
      </c>
      <c r="H94" s="22">
        <v>0</v>
      </c>
      <c r="I94" s="5">
        <v>0</v>
      </c>
      <c r="J94" s="23">
        <v>0.62635451374311002</v>
      </c>
      <c r="K94" s="22" t="s">
        <v>581</v>
      </c>
      <c r="L94" s="5" t="s">
        <v>480</v>
      </c>
      <c r="M94" s="5" t="s">
        <v>482</v>
      </c>
      <c r="N94" s="5" t="s">
        <v>481</v>
      </c>
      <c r="O94" s="5" t="s">
        <v>483</v>
      </c>
      <c r="P94" s="5">
        <v>42</v>
      </c>
      <c r="Q94" s="5">
        <v>0</v>
      </c>
      <c r="R94" s="5">
        <v>0</v>
      </c>
      <c r="S94" s="5" t="s">
        <v>7</v>
      </c>
      <c r="T94" s="5">
        <v>42</v>
      </c>
      <c r="U94" s="24" t="s">
        <v>607</v>
      </c>
      <c r="V94" s="5" t="s">
        <v>596</v>
      </c>
    </row>
    <row r="95" spans="1:22" ht="28.8" x14ac:dyDescent="0.3">
      <c r="A95" s="5">
        <v>94</v>
      </c>
      <c r="B95" s="5" t="s">
        <v>75</v>
      </c>
      <c r="C95" s="5">
        <v>95008</v>
      </c>
      <c r="D95" s="5" t="str">
        <f>"414-03-015"</f>
        <v>414-03-015</v>
      </c>
      <c r="E95" s="5" t="s">
        <v>495</v>
      </c>
      <c r="F95" s="5" t="s">
        <v>5</v>
      </c>
      <c r="G95" s="22" t="s">
        <v>508</v>
      </c>
      <c r="H95" s="22">
        <v>0</v>
      </c>
      <c r="I95" s="5">
        <v>0</v>
      </c>
      <c r="J95" s="23">
        <v>0.69105330944190402</v>
      </c>
      <c r="K95" s="22" t="s">
        <v>581</v>
      </c>
      <c r="L95" s="5" t="s">
        <v>480</v>
      </c>
      <c r="M95" s="5" t="s">
        <v>482</v>
      </c>
      <c r="N95" s="5" t="s">
        <v>481</v>
      </c>
      <c r="O95" s="5" t="s">
        <v>483</v>
      </c>
      <c r="P95" s="5">
        <v>47</v>
      </c>
      <c r="Q95" s="5">
        <v>0</v>
      </c>
      <c r="R95" s="5">
        <v>0</v>
      </c>
      <c r="S95" s="5" t="s">
        <v>7</v>
      </c>
      <c r="T95" s="5">
        <v>47</v>
      </c>
      <c r="U95" s="24" t="s">
        <v>607</v>
      </c>
      <c r="V95" s="5" t="s">
        <v>596</v>
      </c>
    </row>
    <row r="96" spans="1:22" x14ac:dyDescent="0.3">
      <c r="A96" s="5">
        <v>95</v>
      </c>
      <c r="B96" s="5" t="s">
        <v>165</v>
      </c>
      <c r="C96" s="5">
        <v>95128</v>
      </c>
      <c r="D96" s="5" t="str">
        <f>"305-03-014"</f>
        <v>305-03-014</v>
      </c>
      <c r="E96" s="5"/>
      <c r="F96" s="5" t="s">
        <v>50</v>
      </c>
      <c r="G96" s="22" t="s">
        <v>96</v>
      </c>
      <c r="H96" s="22">
        <v>45</v>
      </c>
      <c r="I96" s="5">
        <v>95</v>
      </c>
      <c r="J96" s="23">
        <v>0.91382814469495799</v>
      </c>
      <c r="K96" s="22" t="s">
        <v>577</v>
      </c>
      <c r="L96" s="5" t="s">
        <v>480</v>
      </c>
      <c r="M96" s="5" t="s">
        <v>482</v>
      </c>
      <c r="N96" s="5" t="s">
        <v>481</v>
      </c>
      <c r="O96" s="5" t="s">
        <v>483</v>
      </c>
      <c r="P96" s="5">
        <v>87</v>
      </c>
      <c r="Q96" s="5">
        <v>0</v>
      </c>
      <c r="R96" s="5">
        <v>0</v>
      </c>
      <c r="S96" s="5" t="s">
        <v>7</v>
      </c>
      <c r="T96" s="5">
        <v>87</v>
      </c>
      <c r="U96" s="24"/>
      <c r="V96" s="5" t="s">
        <v>696</v>
      </c>
    </row>
    <row r="97" spans="1:22" x14ac:dyDescent="0.3">
      <c r="A97" s="5">
        <v>96</v>
      </c>
      <c r="B97" s="5" t="s">
        <v>16</v>
      </c>
      <c r="C97" s="5">
        <v>95112</v>
      </c>
      <c r="D97" s="5" t="str">
        <f>"235-02-031"</f>
        <v>235-02-031</v>
      </c>
      <c r="E97" s="5" t="s">
        <v>484</v>
      </c>
      <c r="F97" s="5" t="s">
        <v>9</v>
      </c>
      <c r="G97" s="22" t="s">
        <v>18</v>
      </c>
      <c r="H97" s="22">
        <v>55</v>
      </c>
      <c r="I97" s="5">
        <v>250</v>
      </c>
      <c r="J97" s="23">
        <v>1.4421030517736899</v>
      </c>
      <c r="K97" s="22" t="s">
        <v>575</v>
      </c>
      <c r="L97" s="5" t="s">
        <v>480</v>
      </c>
      <c r="M97" s="5" t="s">
        <v>845</v>
      </c>
      <c r="N97" s="5" t="s">
        <v>481</v>
      </c>
      <c r="O97" s="5" t="s">
        <v>847</v>
      </c>
      <c r="P97" s="5">
        <v>180</v>
      </c>
      <c r="Q97" s="5">
        <v>0</v>
      </c>
      <c r="R97" s="5">
        <v>0</v>
      </c>
      <c r="S97" s="5" t="s">
        <v>7</v>
      </c>
      <c r="T97" s="5">
        <v>180</v>
      </c>
      <c r="U97" s="24" t="s">
        <v>601</v>
      </c>
      <c r="V97" s="5" t="s">
        <v>602</v>
      </c>
    </row>
    <row r="98" spans="1:22" ht="28.8" x14ac:dyDescent="0.3">
      <c r="A98" s="5">
        <v>97</v>
      </c>
      <c r="B98" s="5" t="s">
        <v>194</v>
      </c>
      <c r="C98" s="5">
        <v>95123</v>
      </c>
      <c r="D98" s="5" t="str">
        <f>"458-14-024"</f>
        <v>458-14-024</v>
      </c>
      <c r="E98" s="5"/>
      <c r="F98" s="5" t="s">
        <v>5</v>
      </c>
      <c r="G98" s="22" t="s">
        <v>508</v>
      </c>
      <c r="H98" s="22">
        <v>0</v>
      </c>
      <c r="I98" s="5">
        <v>0</v>
      </c>
      <c r="J98" s="23">
        <v>0.97393407235463303</v>
      </c>
      <c r="K98" s="22" t="s">
        <v>576</v>
      </c>
      <c r="L98" s="5" t="s">
        <v>480</v>
      </c>
      <c r="M98" s="5" t="s">
        <v>482</v>
      </c>
      <c r="N98" s="5" t="s">
        <v>481</v>
      </c>
      <c r="O98" s="5" t="s">
        <v>483</v>
      </c>
      <c r="P98" s="5">
        <v>62</v>
      </c>
      <c r="Q98" s="5">
        <v>0</v>
      </c>
      <c r="R98" s="5">
        <v>0</v>
      </c>
      <c r="S98" s="5" t="s">
        <v>7</v>
      </c>
      <c r="T98" s="5">
        <v>62</v>
      </c>
      <c r="U98" s="24" t="s">
        <v>607</v>
      </c>
      <c r="V98" s="5" t="s">
        <v>605</v>
      </c>
    </row>
    <row r="99" spans="1:22" ht="28.8" x14ac:dyDescent="0.3">
      <c r="A99" s="5">
        <v>98</v>
      </c>
      <c r="B99" s="5" t="s">
        <v>60</v>
      </c>
      <c r="C99" s="5">
        <v>95008</v>
      </c>
      <c r="D99" s="5" t="str">
        <f>"412-19-027"</f>
        <v>412-19-027</v>
      </c>
      <c r="E99" s="5" t="s">
        <v>494</v>
      </c>
      <c r="F99" s="5" t="s">
        <v>5</v>
      </c>
      <c r="G99" s="22" t="s">
        <v>508</v>
      </c>
      <c r="H99" s="22">
        <v>0</v>
      </c>
      <c r="I99" s="5">
        <v>0</v>
      </c>
      <c r="J99" s="23">
        <v>0.55338185555950004</v>
      </c>
      <c r="K99" s="22" t="s">
        <v>581</v>
      </c>
      <c r="L99" s="5" t="s">
        <v>480</v>
      </c>
      <c r="M99" s="5" t="s">
        <v>482</v>
      </c>
      <c r="N99" s="5" t="s">
        <v>481</v>
      </c>
      <c r="O99" s="5" t="s">
        <v>483</v>
      </c>
      <c r="P99" s="5">
        <v>37</v>
      </c>
      <c r="Q99" s="5">
        <v>0</v>
      </c>
      <c r="R99" s="5">
        <v>0</v>
      </c>
      <c r="S99" s="5" t="s">
        <v>7</v>
      </c>
      <c r="T99" s="5">
        <v>37</v>
      </c>
      <c r="U99" s="24" t="s">
        <v>607</v>
      </c>
      <c r="V99" s="5" t="s">
        <v>596</v>
      </c>
    </row>
    <row r="100" spans="1:22" ht="28.8" x14ac:dyDescent="0.3">
      <c r="A100" s="5">
        <v>99</v>
      </c>
      <c r="B100" s="5" t="s">
        <v>68</v>
      </c>
      <c r="C100" s="5">
        <v>95148</v>
      </c>
      <c r="D100" s="5" t="str">
        <f>"673-14-019"</f>
        <v>673-14-019</v>
      </c>
      <c r="E100" s="5"/>
      <c r="F100" s="5" t="s">
        <v>5</v>
      </c>
      <c r="G100" s="22" t="s">
        <v>590</v>
      </c>
      <c r="H100" s="22">
        <v>0</v>
      </c>
      <c r="I100" s="5">
        <v>0</v>
      </c>
      <c r="J100" s="23">
        <v>1.3906374284598599</v>
      </c>
      <c r="K100" s="22" t="s">
        <v>576</v>
      </c>
      <c r="L100" s="5" t="s">
        <v>480</v>
      </c>
      <c r="M100" s="5" t="s">
        <v>482</v>
      </c>
      <c r="N100" s="5" t="s">
        <v>481</v>
      </c>
      <c r="O100" s="5" t="s">
        <v>483</v>
      </c>
      <c r="P100" s="5">
        <v>94</v>
      </c>
      <c r="Q100" s="5">
        <v>0</v>
      </c>
      <c r="R100" s="5">
        <v>0</v>
      </c>
      <c r="S100" s="5" t="s">
        <v>7</v>
      </c>
      <c r="T100" s="5">
        <v>94</v>
      </c>
      <c r="U100" s="24" t="s">
        <v>607</v>
      </c>
      <c r="V100" s="5" t="s">
        <v>606</v>
      </c>
    </row>
    <row r="101" spans="1:22" ht="28.8" x14ac:dyDescent="0.3">
      <c r="A101" s="5">
        <v>100</v>
      </c>
      <c r="B101" s="5" t="s">
        <v>139</v>
      </c>
      <c r="C101" s="5">
        <v>95129</v>
      </c>
      <c r="D101" s="5" t="str">
        <f>"299-13-011"</f>
        <v>299-13-011</v>
      </c>
      <c r="E101" s="5"/>
      <c r="F101" s="5" t="s">
        <v>5</v>
      </c>
      <c r="G101" s="22" t="s">
        <v>508</v>
      </c>
      <c r="H101" s="22">
        <v>0</v>
      </c>
      <c r="I101" s="5">
        <v>0</v>
      </c>
      <c r="J101" s="23">
        <v>0.99068883368142002</v>
      </c>
      <c r="K101" s="22" t="s">
        <v>576</v>
      </c>
      <c r="L101" s="5" t="s">
        <v>480</v>
      </c>
      <c r="M101" s="5" t="s">
        <v>482</v>
      </c>
      <c r="N101" s="5" t="s">
        <v>481</v>
      </c>
      <c r="O101" s="5" t="s">
        <v>483</v>
      </c>
      <c r="P101" s="5">
        <v>63</v>
      </c>
      <c r="Q101" s="5">
        <v>0</v>
      </c>
      <c r="R101" s="5">
        <v>0</v>
      </c>
      <c r="S101" s="5" t="s">
        <v>7</v>
      </c>
      <c r="T101" s="5">
        <v>63</v>
      </c>
      <c r="U101" s="24" t="s">
        <v>607</v>
      </c>
      <c r="V101" s="5" t="s">
        <v>678</v>
      </c>
    </row>
    <row r="102" spans="1:22" ht="28.8" x14ac:dyDescent="0.3">
      <c r="A102" s="5">
        <v>101</v>
      </c>
      <c r="B102" s="5" t="s">
        <v>419</v>
      </c>
      <c r="C102" s="5">
        <v>95134</v>
      </c>
      <c r="D102" s="5" t="str">
        <f>"097-07-039"</f>
        <v>097-07-039</v>
      </c>
      <c r="E102" s="5" t="s">
        <v>564</v>
      </c>
      <c r="F102" s="5" t="s">
        <v>46</v>
      </c>
      <c r="G102" s="22" t="s">
        <v>578</v>
      </c>
      <c r="H102" s="22">
        <v>0</v>
      </c>
      <c r="I102" s="5">
        <v>0</v>
      </c>
      <c r="J102" s="23">
        <v>3.0785802918900198</v>
      </c>
      <c r="K102" s="22" t="s">
        <v>577</v>
      </c>
      <c r="L102" s="5" t="s">
        <v>480</v>
      </c>
      <c r="M102" s="5" t="s">
        <v>482</v>
      </c>
      <c r="N102" s="5" t="s">
        <v>481</v>
      </c>
      <c r="O102" s="5" t="s">
        <v>483</v>
      </c>
      <c r="P102" s="5">
        <v>408</v>
      </c>
      <c r="Q102" s="5">
        <v>0</v>
      </c>
      <c r="R102" s="5"/>
      <c r="S102" s="5" t="s">
        <v>7</v>
      </c>
      <c r="T102" s="5">
        <v>408</v>
      </c>
      <c r="U102" s="24" t="s">
        <v>607</v>
      </c>
      <c r="V102" s="5" t="s">
        <v>799</v>
      </c>
    </row>
    <row r="103" spans="1:22" x14ac:dyDescent="0.3">
      <c r="A103" s="5">
        <v>102</v>
      </c>
      <c r="B103" s="5" t="s">
        <v>93</v>
      </c>
      <c r="C103" s="5">
        <v>95128</v>
      </c>
      <c r="D103" s="5" t="str">
        <f>"279-25-012"</f>
        <v>279-25-012</v>
      </c>
      <c r="E103" s="5"/>
      <c r="F103" s="5" t="s">
        <v>50</v>
      </c>
      <c r="G103" s="22" t="s">
        <v>508</v>
      </c>
      <c r="H103" s="22">
        <v>45</v>
      </c>
      <c r="I103" s="5">
        <v>95</v>
      </c>
      <c r="J103" s="23">
        <v>0.257504402953388</v>
      </c>
      <c r="K103" s="22" t="s">
        <v>576</v>
      </c>
      <c r="L103" s="5" t="s">
        <v>480</v>
      </c>
      <c r="M103" s="5" t="s">
        <v>482</v>
      </c>
      <c r="N103" s="5" t="s">
        <v>481</v>
      </c>
      <c r="O103" s="5" t="s">
        <v>483</v>
      </c>
      <c r="P103" s="5">
        <v>22</v>
      </c>
      <c r="Q103" s="5">
        <v>0</v>
      </c>
      <c r="R103" s="5">
        <v>0</v>
      </c>
      <c r="S103" s="5" t="s">
        <v>7</v>
      </c>
      <c r="T103" s="5">
        <v>22</v>
      </c>
      <c r="U103" s="24"/>
      <c r="V103" s="5" t="s">
        <v>838</v>
      </c>
    </row>
    <row r="104" spans="1:22" ht="28.8" x14ac:dyDescent="0.3">
      <c r="A104" s="5">
        <v>103</v>
      </c>
      <c r="B104" s="5" t="s">
        <v>70</v>
      </c>
      <c r="C104" s="5">
        <v>95008</v>
      </c>
      <c r="D104" s="5" t="str">
        <f>"412-20-004"</f>
        <v>412-20-004</v>
      </c>
      <c r="E104" s="5"/>
      <c r="F104" s="5" t="s">
        <v>5</v>
      </c>
      <c r="G104" s="22" t="s">
        <v>508</v>
      </c>
      <c r="H104" s="22">
        <v>0</v>
      </c>
      <c r="I104" s="5">
        <v>0</v>
      </c>
      <c r="J104" s="23">
        <v>0.62075288693999997</v>
      </c>
      <c r="K104" s="22" t="s">
        <v>576</v>
      </c>
      <c r="L104" s="5" t="s">
        <v>480</v>
      </c>
      <c r="M104" s="5" t="s">
        <v>482</v>
      </c>
      <c r="N104" s="5" t="s">
        <v>481</v>
      </c>
      <c r="O104" s="5" t="s">
        <v>483</v>
      </c>
      <c r="P104" s="5">
        <v>40</v>
      </c>
      <c r="Q104" s="5">
        <v>0</v>
      </c>
      <c r="R104" s="5">
        <v>0</v>
      </c>
      <c r="S104" s="5" t="s">
        <v>7</v>
      </c>
      <c r="T104" s="5">
        <v>40</v>
      </c>
      <c r="U104" s="24" t="s">
        <v>607</v>
      </c>
      <c r="V104" s="5" t="s">
        <v>627</v>
      </c>
    </row>
    <row r="105" spans="1:22" x14ac:dyDescent="0.3">
      <c r="A105" s="5">
        <v>104</v>
      </c>
      <c r="B105" s="5" t="s">
        <v>78</v>
      </c>
      <c r="C105" s="5">
        <v>95125</v>
      </c>
      <c r="D105" s="5" t="str">
        <f>"456-10-023"</f>
        <v>456-10-023</v>
      </c>
      <c r="E105" s="5" t="s">
        <v>543</v>
      </c>
      <c r="F105" s="5" t="s">
        <v>50</v>
      </c>
      <c r="G105" s="22" t="s">
        <v>96</v>
      </c>
      <c r="H105" s="22">
        <v>30</v>
      </c>
      <c r="I105" s="5">
        <v>95</v>
      </c>
      <c r="J105" s="23">
        <v>0.78267285381853902</v>
      </c>
      <c r="K105" s="22" t="s">
        <v>580</v>
      </c>
      <c r="L105" s="5" t="s">
        <v>480</v>
      </c>
      <c r="M105" s="5" t="s">
        <v>482</v>
      </c>
      <c r="N105" s="5" t="s">
        <v>481</v>
      </c>
      <c r="O105" s="5" t="s">
        <v>483</v>
      </c>
      <c r="P105" s="5">
        <v>60</v>
      </c>
      <c r="Q105" s="5"/>
      <c r="R105" s="5">
        <v>0</v>
      </c>
      <c r="S105" s="5" t="s">
        <v>7</v>
      </c>
      <c r="T105" s="5">
        <v>60</v>
      </c>
      <c r="U105" s="24"/>
      <c r="V105" s="5" t="s">
        <v>694</v>
      </c>
    </row>
    <row r="106" spans="1:22" ht="28.8" x14ac:dyDescent="0.3">
      <c r="A106" s="5">
        <v>105</v>
      </c>
      <c r="B106" s="5" t="s">
        <v>219</v>
      </c>
      <c r="C106" s="5">
        <v>95132</v>
      </c>
      <c r="D106" s="5" t="str">
        <f>"244-06-009"</f>
        <v>244-06-009</v>
      </c>
      <c r="E106" s="5"/>
      <c r="F106" s="5" t="s">
        <v>5</v>
      </c>
      <c r="G106" s="22" t="s">
        <v>508</v>
      </c>
      <c r="H106" s="22">
        <v>0</v>
      </c>
      <c r="I106" s="5">
        <v>0</v>
      </c>
      <c r="J106" s="23">
        <v>0.65991101508776995</v>
      </c>
      <c r="K106" s="22" t="s">
        <v>576</v>
      </c>
      <c r="L106" s="5" t="s">
        <v>480</v>
      </c>
      <c r="M106" s="5" t="s">
        <v>482</v>
      </c>
      <c r="N106" s="5" t="s">
        <v>481</v>
      </c>
      <c r="O106" s="5" t="s">
        <v>483</v>
      </c>
      <c r="P106" s="5">
        <v>42</v>
      </c>
      <c r="Q106" s="5">
        <v>0</v>
      </c>
      <c r="R106" s="5">
        <v>0</v>
      </c>
      <c r="S106" s="5" t="s">
        <v>7</v>
      </c>
      <c r="T106" s="5">
        <v>42</v>
      </c>
      <c r="U106" s="24" t="s">
        <v>607</v>
      </c>
      <c r="V106" s="5" t="s">
        <v>726</v>
      </c>
    </row>
    <row r="107" spans="1:22" x14ac:dyDescent="0.3">
      <c r="A107" s="5">
        <v>106</v>
      </c>
      <c r="B107" s="5" t="s">
        <v>315</v>
      </c>
      <c r="C107" s="5">
        <v>95126</v>
      </c>
      <c r="D107" s="5" t="str">
        <f>"264-02-045"</f>
        <v>264-02-045</v>
      </c>
      <c r="E107" s="5"/>
      <c r="F107" s="5" t="s">
        <v>33</v>
      </c>
      <c r="G107" s="22" t="s">
        <v>34</v>
      </c>
      <c r="H107" s="22">
        <v>0</v>
      </c>
      <c r="I107" s="5">
        <v>30</v>
      </c>
      <c r="J107" s="23">
        <v>1.83347821193828</v>
      </c>
      <c r="K107" s="22" t="s">
        <v>579</v>
      </c>
      <c r="L107" s="5" t="s">
        <v>480</v>
      </c>
      <c r="M107" s="5" t="s">
        <v>482</v>
      </c>
      <c r="N107" s="5" t="s">
        <v>481</v>
      </c>
      <c r="O107" s="5" t="s">
        <v>847</v>
      </c>
      <c r="P107" s="5">
        <v>55</v>
      </c>
      <c r="Q107" s="5">
        <v>0</v>
      </c>
      <c r="R107" s="5">
        <v>0</v>
      </c>
      <c r="S107" s="5" t="s">
        <v>7</v>
      </c>
      <c r="T107" s="5">
        <v>55</v>
      </c>
      <c r="U107" s="24"/>
      <c r="V107" s="5" t="s">
        <v>631</v>
      </c>
    </row>
    <row r="108" spans="1:22" x14ac:dyDescent="0.3">
      <c r="A108" s="5">
        <v>107</v>
      </c>
      <c r="B108" s="5" t="s">
        <v>119</v>
      </c>
      <c r="C108" s="5">
        <v>95128</v>
      </c>
      <c r="D108" s="5" t="str">
        <f>"282-29-011"</f>
        <v>282-29-011</v>
      </c>
      <c r="E108" s="5" t="s">
        <v>505</v>
      </c>
      <c r="F108" s="5" t="s">
        <v>9</v>
      </c>
      <c r="G108" s="22" t="s">
        <v>18</v>
      </c>
      <c r="H108" s="22">
        <v>0</v>
      </c>
      <c r="I108" s="5">
        <v>150</v>
      </c>
      <c r="J108" s="23">
        <v>0.46393945358966998</v>
      </c>
      <c r="K108" s="22" t="s">
        <v>580</v>
      </c>
      <c r="L108" s="5" t="s">
        <v>480</v>
      </c>
      <c r="M108" s="5" t="s">
        <v>482</v>
      </c>
      <c r="N108" s="5" t="s">
        <v>481</v>
      </c>
      <c r="O108" s="5" t="s">
        <v>483</v>
      </c>
      <c r="P108" s="5">
        <v>37</v>
      </c>
      <c r="Q108" s="5"/>
      <c r="R108" s="5">
        <v>0</v>
      </c>
      <c r="S108" s="5" t="s">
        <v>7</v>
      </c>
      <c r="T108" s="5">
        <v>37</v>
      </c>
      <c r="U108" s="24"/>
      <c r="V108" s="5" t="s">
        <v>664</v>
      </c>
    </row>
    <row r="109" spans="1:22" x14ac:dyDescent="0.3">
      <c r="A109" s="5">
        <v>108</v>
      </c>
      <c r="B109" s="5" t="s">
        <v>160</v>
      </c>
      <c r="C109" s="5">
        <v>95117</v>
      </c>
      <c r="D109" s="5" t="str">
        <f>"303-39-048"</f>
        <v>303-39-048</v>
      </c>
      <c r="E109" s="5" t="s">
        <v>513</v>
      </c>
      <c r="F109" s="5" t="s">
        <v>29</v>
      </c>
      <c r="G109" s="22" t="s">
        <v>37</v>
      </c>
      <c r="H109" s="22">
        <v>0</v>
      </c>
      <c r="I109" s="5">
        <v>75</v>
      </c>
      <c r="J109" s="23">
        <v>0.768252018062348</v>
      </c>
      <c r="K109" s="22" t="s">
        <v>576</v>
      </c>
      <c r="L109" s="5" t="s">
        <v>480</v>
      </c>
      <c r="M109" s="5" t="s">
        <v>482</v>
      </c>
      <c r="N109" s="5" t="s">
        <v>481</v>
      </c>
      <c r="O109" s="5" t="s">
        <v>483</v>
      </c>
      <c r="P109" s="5">
        <v>52</v>
      </c>
      <c r="Q109" s="5"/>
      <c r="R109" s="5">
        <v>0</v>
      </c>
      <c r="S109" s="5" t="s">
        <v>7</v>
      </c>
      <c r="T109" s="5">
        <v>52</v>
      </c>
      <c r="U109" s="24"/>
      <c r="V109" s="5" t="s">
        <v>692</v>
      </c>
    </row>
    <row r="110" spans="1:22" x14ac:dyDescent="0.3">
      <c r="A110" s="5">
        <v>109</v>
      </c>
      <c r="B110" s="5" t="s">
        <v>78</v>
      </c>
      <c r="C110" s="5">
        <v>95125</v>
      </c>
      <c r="D110" s="5" t="str">
        <f>"434-01-055"</f>
        <v>434-01-055</v>
      </c>
      <c r="E110" s="5"/>
      <c r="F110" s="5" t="s">
        <v>5</v>
      </c>
      <c r="G110" s="22" t="s">
        <v>500</v>
      </c>
      <c r="H110" s="22">
        <v>0</v>
      </c>
      <c r="I110" s="5">
        <v>0</v>
      </c>
      <c r="J110" s="23">
        <v>1.0176765122881899</v>
      </c>
      <c r="K110" s="22" t="s">
        <v>576</v>
      </c>
      <c r="L110" s="5" t="s">
        <v>480</v>
      </c>
      <c r="M110" s="5" t="s">
        <v>482</v>
      </c>
      <c r="N110" s="5" t="s">
        <v>481</v>
      </c>
      <c r="O110" s="5" t="s">
        <v>483</v>
      </c>
      <c r="P110" s="5">
        <v>100</v>
      </c>
      <c r="Q110" s="5">
        <v>0</v>
      </c>
      <c r="R110" s="5">
        <v>0</v>
      </c>
      <c r="S110" s="5" t="s">
        <v>7</v>
      </c>
      <c r="T110" s="5">
        <v>100</v>
      </c>
      <c r="U110" s="24"/>
      <c r="V110" s="5" t="s">
        <v>818</v>
      </c>
    </row>
    <row r="111" spans="1:22" x14ac:dyDescent="0.3">
      <c r="A111" s="5">
        <v>110</v>
      </c>
      <c r="B111" s="5" t="s">
        <v>78</v>
      </c>
      <c r="C111" s="5">
        <v>95123</v>
      </c>
      <c r="D111" s="5" t="str">
        <f>"692-26-048"</f>
        <v>692-26-048</v>
      </c>
      <c r="E111" s="5"/>
      <c r="F111" s="5" t="s">
        <v>5</v>
      </c>
      <c r="G111" s="22" t="s">
        <v>508</v>
      </c>
      <c r="H111" s="22">
        <v>0</v>
      </c>
      <c r="I111" s="5">
        <v>0</v>
      </c>
      <c r="J111" s="23">
        <v>1.0574932554357701</v>
      </c>
      <c r="K111" s="22" t="s">
        <v>582</v>
      </c>
      <c r="L111" s="5" t="s">
        <v>480</v>
      </c>
      <c r="M111" s="5" t="s">
        <v>482</v>
      </c>
      <c r="N111" s="5" t="s">
        <v>481</v>
      </c>
      <c r="O111" s="5" t="s">
        <v>483</v>
      </c>
      <c r="P111" s="5">
        <v>75</v>
      </c>
      <c r="Q111" s="5">
        <v>0</v>
      </c>
      <c r="R111" s="5">
        <v>0</v>
      </c>
      <c r="S111" s="5" t="s">
        <v>7</v>
      </c>
      <c r="T111" s="5">
        <v>75</v>
      </c>
      <c r="U111" s="24"/>
      <c r="V111" s="5" t="s">
        <v>814</v>
      </c>
    </row>
    <row r="112" spans="1:22" x14ac:dyDescent="0.3">
      <c r="A112" s="5">
        <v>111</v>
      </c>
      <c r="B112" s="5" t="s">
        <v>439</v>
      </c>
      <c r="C112" s="5">
        <v>95136</v>
      </c>
      <c r="D112" s="5" t="str">
        <f>"462-14-021"</f>
        <v>462-14-021</v>
      </c>
      <c r="E112" s="5"/>
      <c r="F112" s="5" t="s">
        <v>33</v>
      </c>
      <c r="G112" s="5" t="s">
        <v>34</v>
      </c>
      <c r="H112" s="22">
        <v>0</v>
      </c>
      <c r="I112" s="5">
        <v>30</v>
      </c>
      <c r="J112" s="23">
        <v>2.7043868876675901</v>
      </c>
      <c r="K112" s="22" t="s">
        <v>582</v>
      </c>
      <c r="L112" s="5" t="s">
        <v>480</v>
      </c>
      <c r="M112" s="5" t="s">
        <v>482</v>
      </c>
      <c r="N112" s="5" t="s">
        <v>481</v>
      </c>
      <c r="O112" s="5" t="s">
        <v>847</v>
      </c>
      <c r="P112" s="5">
        <v>81</v>
      </c>
      <c r="Q112" s="5"/>
      <c r="R112" s="5">
        <v>0</v>
      </c>
      <c r="S112" s="5" t="s">
        <v>7</v>
      </c>
      <c r="T112" s="5">
        <v>81</v>
      </c>
      <c r="U112" s="24"/>
      <c r="V112" s="5" t="s">
        <v>835</v>
      </c>
    </row>
    <row r="113" spans="1:22" x14ac:dyDescent="0.3">
      <c r="A113" s="5">
        <v>112</v>
      </c>
      <c r="B113" s="5" t="s">
        <v>828</v>
      </c>
      <c r="C113" s="5">
        <v>95112</v>
      </c>
      <c r="D113" s="5" t="str">
        <f>"467-14-003"</f>
        <v>467-14-003</v>
      </c>
      <c r="E113" s="5"/>
      <c r="F113" s="5" t="s">
        <v>29</v>
      </c>
      <c r="G113" s="5" t="s">
        <v>37</v>
      </c>
      <c r="H113" s="22">
        <v>0</v>
      </c>
      <c r="I113" s="5">
        <v>50</v>
      </c>
      <c r="J113" s="23">
        <v>8.6817921873341794E-2</v>
      </c>
      <c r="K113" s="22" t="s">
        <v>582</v>
      </c>
      <c r="L113" s="5" t="s">
        <v>480</v>
      </c>
      <c r="M113" s="5" t="s">
        <v>482</v>
      </c>
      <c r="N113" s="5" t="s">
        <v>481</v>
      </c>
      <c r="O113" s="5"/>
      <c r="P113" s="5">
        <v>4</v>
      </c>
      <c r="Q113" s="5">
        <v>0</v>
      </c>
      <c r="R113" s="5">
        <v>0</v>
      </c>
      <c r="S113" s="5" t="s">
        <v>7</v>
      </c>
      <c r="T113" s="5">
        <v>4</v>
      </c>
      <c r="U113" s="24"/>
      <c r="V113" s="5" t="s">
        <v>816</v>
      </c>
    </row>
    <row r="114" spans="1:22" x14ac:dyDescent="0.3">
      <c r="A114" s="5">
        <v>113</v>
      </c>
      <c r="B114" s="5" t="s">
        <v>105</v>
      </c>
      <c r="C114" s="5">
        <v>95128</v>
      </c>
      <c r="D114" s="5" t="str">
        <f>"282-11-017"</f>
        <v>282-11-017</v>
      </c>
      <c r="E114" s="5"/>
      <c r="F114" s="5" t="s">
        <v>9</v>
      </c>
      <c r="G114" s="22" t="s">
        <v>18</v>
      </c>
      <c r="H114" s="22">
        <v>0</v>
      </c>
      <c r="I114" s="5">
        <v>150</v>
      </c>
      <c r="J114" s="23">
        <v>0.599529872744199</v>
      </c>
      <c r="K114" s="22" t="s">
        <v>576</v>
      </c>
      <c r="L114" s="5" t="s">
        <v>480</v>
      </c>
      <c r="M114" s="5" t="s">
        <v>482</v>
      </c>
      <c r="N114" s="5" t="s">
        <v>481</v>
      </c>
      <c r="O114" s="5" t="s">
        <v>483</v>
      </c>
      <c r="P114" s="5">
        <v>0</v>
      </c>
      <c r="Q114" s="5">
        <v>38</v>
      </c>
      <c r="R114" s="5">
        <v>0</v>
      </c>
      <c r="S114" s="5" t="s">
        <v>21</v>
      </c>
      <c r="T114" s="5">
        <v>38</v>
      </c>
      <c r="U114" s="24"/>
      <c r="V114" s="5" t="s">
        <v>605</v>
      </c>
    </row>
    <row r="115" spans="1:22" ht="28.8" x14ac:dyDescent="0.3">
      <c r="A115" s="5">
        <v>114</v>
      </c>
      <c r="B115" s="5" t="s">
        <v>123</v>
      </c>
      <c r="C115" s="5">
        <v>95128</v>
      </c>
      <c r="D115" s="5" t="str">
        <f>"284-03-036"</f>
        <v>284-03-036</v>
      </c>
      <c r="E115" s="5"/>
      <c r="F115" s="5" t="s">
        <v>5</v>
      </c>
      <c r="G115" s="22" t="s">
        <v>508</v>
      </c>
      <c r="H115" s="22">
        <v>0</v>
      </c>
      <c r="I115" s="5">
        <v>0</v>
      </c>
      <c r="J115" s="23">
        <v>0.66831737742332498</v>
      </c>
      <c r="K115" s="22" t="s">
        <v>581</v>
      </c>
      <c r="L115" s="5" t="s">
        <v>480</v>
      </c>
      <c r="M115" s="5" t="s">
        <v>482</v>
      </c>
      <c r="N115" s="5" t="s">
        <v>481</v>
      </c>
      <c r="O115" s="5"/>
      <c r="P115" s="5">
        <v>43</v>
      </c>
      <c r="Q115" s="5">
        <v>0</v>
      </c>
      <c r="R115" s="5">
        <v>0</v>
      </c>
      <c r="S115" s="5" t="s">
        <v>7</v>
      </c>
      <c r="T115" s="5">
        <v>43</v>
      </c>
      <c r="U115" s="24" t="s">
        <v>607</v>
      </c>
      <c r="V115" s="5" t="s">
        <v>596</v>
      </c>
    </row>
    <row r="116" spans="1:22" ht="28.8" x14ac:dyDescent="0.3">
      <c r="A116" s="5">
        <v>115</v>
      </c>
      <c r="B116" s="5" t="s">
        <v>58</v>
      </c>
      <c r="C116" s="5">
        <v>95127</v>
      </c>
      <c r="D116" s="5" t="str">
        <f>"484-10-114"</f>
        <v>484-10-114</v>
      </c>
      <c r="E116" s="5"/>
      <c r="F116" s="5" t="s">
        <v>5</v>
      </c>
      <c r="G116" s="22" t="s">
        <v>508</v>
      </c>
      <c r="H116" s="22">
        <v>0</v>
      </c>
      <c r="I116" s="5">
        <v>0</v>
      </c>
      <c r="J116" s="23">
        <v>0.59007983852607204</v>
      </c>
      <c r="K116" s="22" t="s">
        <v>576</v>
      </c>
      <c r="L116" s="5" t="s">
        <v>480</v>
      </c>
      <c r="M116" s="5" t="s">
        <v>482</v>
      </c>
      <c r="N116" s="5" t="s">
        <v>481</v>
      </c>
      <c r="O116" s="5"/>
      <c r="P116" s="5">
        <v>38</v>
      </c>
      <c r="Q116" s="5">
        <v>0</v>
      </c>
      <c r="R116" s="5">
        <v>0</v>
      </c>
      <c r="S116" s="5" t="s">
        <v>7</v>
      </c>
      <c r="T116" s="5">
        <v>38</v>
      </c>
      <c r="U116" s="24" t="s">
        <v>607</v>
      </c>
      <c r="V116" s="5" t="s">
        <v>604</v>
      </c>
    </row>
    <row r="117" spans="1:22" x14ac:dyDescent="0.3">
      <c r="A117" s="5">
        <v>116</v>
      </c>
      <c r="B117" s="5" t="s">
        <v>232</v>
      </c>
      <c r="C117" s="5">
        <v>95117</v>
      </c>
      <c r="D117" s="5" t="str">
        <f>"299-32-074"</f>
        <v>299-32-074</v>
      </c>
      <c r="E117" s="5"/>
      <c r="F117" s="5" t="s">
        <v>233</v>
      </c>
      <c r="G117" s="22" t="s">
        <v>593</v>
      </c>
      <c r="H117" s="22">
        <v>0</v>
      </c>
      <c r="I117" s="5">
        <v>0</v>
      </c>
      <c r="J117" s="23">
        <v>0.49441100026544299</v>
      </c>
      <c r="K117" s="22" t="s">
        <v>579</v>
      </c>
      <c r="L117" s="5" t="s">
        <v>480</v>
      </c>
      <c r="M117" s="5" t="s">
        <v>845</v>
      </c>
      <c r="N117" s="5" t="s">
        <v>481</v>
      </c>
      <c r="O117" s="5"/>
      <c r="P117" s="5">
        <v>43</v>
      </c>
      <c r="Q117" s="5"/>
      <c r="R117" s="5">
        <v>0</v>
      </c>
      <c r="S117" s="5" t="s">
        <v>7</v>
      </c>
      <c r="T117" s="5">
        <v>43</v>
      </c>
      <c r="U117" s="24"/>
      <c r="V117" s="5" t="s">
        <v>724</v>
      </c>
    </row>
    <row r="118" spans="1:22" x14ac:dyDescent="0.3">
      <c r="A118" s="5">
        <v>117</v>
      </c>
      <c r="B118" s="5" t="s">
        <v>78</v>
      </c>
      <c r="C118" s="5">
        <v>95112</v>
      </c>
      <c r="D118" s="5" t="str">
        <f>"467-14-002"</f>
        <v>467-14-002</v>
      </c>
      <c r="E118" s="5"/>
      <c r="F118" s="5" t="s">
        <v>29</v>
      </c>
      <c r="G118" s="5" t="s">
        <v>37</v>
      </c>
      <c r="H118" s="22">
        <v>0</v>
      </c>
      <c r="I118" s="5">
        <v>50</v>
      </c>
      <c r="J118" s="23">
        <v>9.4232349157383294E-2</v>
      </c>
      <c r="K118" s="22" t="s">
        <v>582</v>
      </c>
      <c r="L118" s="5" t="s">
        <v>480</v>
      </c>
      <c r="M118" s="5" t="s">
        <v>482</v>
      </c>
      <c r="N118" s="5" t="s">
        <v>481</v>
      </c>
      <c r="O118" s="5" t="s">
        <v>847</v>
      </c>
      <c r="P118" s="5">
        <v>5</v>
      </c>
      <c r="Q118" s="5">
        <v>0</v>
      </c>
      <c r="R118" s="5">
        <v>0</v>
      </c>
      <c r="S118" s="5" t="s">
        <v>7</v>
      </c>
      <c r="T118" s="5">
        <v>5</v>
      </c>
      <c r="U118" s="24"/>
      <c r="V118" s="5" t="s">
        <v>816</v>
      </c>
    </row>
    <row r="119" spans="1:22" ht="28.8" x14ac:dyDescent="0.3">
      <c r="A119" s="5">
        <v>118</v>
      </c>
      <c r="B119" s="5" t="s">
        <v>82</v>
      </c>
      <c r="C119" s="5">
        <v>95124</v>
      </c>
      <c r="D119" s="5" t="str">
        <f>"414-26-017"</f>
        <v>414-26-017</v>
      </c>
      <c r="E119" s="5"/>
      <c r="F119" s="5" t="s">
        <v>5</v>
      </c>
      <c r="G119" s="22" t="s">
        <v>508</v>
      </c>
      <c r="H119" s="22">
        <v>0</v>
      </c>
      <c r="I119" s="5">
        <v>0</v>
      </c>
      <c r="J119" s="23">
        <v>0.62764092677808603</v>
      </c>
      <c r="K119" s="22" t="s">
        <v>576</v>
      </c>
      <c r="L119" s="5" t="s">
        <v>480</v>
      </c>
      <c r="M119" s="5" t="s">
        <v>482</v>
      </c>
      <c r="N119" s="5" t="s">
        <v>481</v>
      </c>
      <c r="O119" s="5"/>
      <c r="P119" s="5">
        <v>40</v>
      </c>
      <c r="Q119" s="5">
        <v>0</v>
      </c>
      <c r="R119" s="5">
        <v>0</v>
      </c>
      <c r="S119" s="5" t="s">
        <v>7</v>
      </c>
      <c r="T119" s="5">
        <v>40</v>
      </c>
      <c r="U119" s="24" t="s">
        <v>607</v>
      </c>
      <c r="V119" s="5" t="s">
        <v>637</v>
      </c>
    </row>
    <row r="120" spans="1:22" x14ac:dyDescent="0.3">
      <c r="A120" s="5">
        <v>119</v>
      </c>
      <c r="B120" s="5" t="s">
        <v>78</v>
      </c>
      <c r="C120" s="5">
        <v>95134</v>
      </c>
      <c r="D120" s="5" t="str">
        <f>"097-07-085"</f>
        <v>097-07-085</v>
      </c>
      <c r="E120" s="5" t="s">
        <v>486</v>
      </c>
      <c r="F120" s="5" t="s">
        <v>46</v>
      </c>
      <c r="G120" s="22" t="s">
        <v>578</v>
      </c>
      <c r="H120" s="22">
        <v>0</v>
      </c>
      <c r="I120" s="5">
        <v>0</v>
      </c>
      <c r="J120" s="23">
        <v>3.4477736911321699</v>
      </c>
      <c r="K120" s="22" t="s">
        <v>577</v>
      </c>
      <c r="L120" s="5" t="s">
        <v>480</v>
      </c>
      <c r="M120" s="5" t="s">
        <v>482</v>
      </c>
      <c r="N120" s="5" t="s">
        <v>481</v>
      </c>
      <c r="O120" s="5" t="s">
        <v>847</v>
      </c>
      <c r="P120" s="5">
        <v>411</v>
      </c>
      <c r="Q120" s="5">
        <v>0</v>
      </c>
      <c r="R120" s="5">
        <v>0</v>
      </c>
      <c r="S120" s="5" t="s">
        <v>7</v>
      </c>
      <c r="T120" s="5">
        <v>411</v>
      </c>
      <c r="U120" s="24"/>
      <c r="V120" s="5" t="s">
        <v>596</v>
      </c>
    </row>
    <row r="121" spans="1:22" x14ac:dyDescent="0.3">
      <c r="A121" s="5">
        <v>120</v>
      </c>
      <c r="B121" s="5" t="s">
        <v>292</v>
      </c>
      <c r="C121" s="5">
        <v>95126</v>
      </c>
      <c r="D121" s="5" t="str">
        <f>"261-36-064"</f>
        <v>261-36-064</v>
      </c>
      <c r="E121" s="5"/>
      <c r="F121" s="5" t="s">
        <v>33</v>
      </c>
      <c r="G121" s="22" t="s">
        <v>34</v>
      </c>
      <c r="H121" s="22">
        <v>0</v>
      </c>
      <c r="I121" s="5">
        <v>30</v>
      </c>
      <c r="J121" s="23">
        <v>0.572935954365421</v>
      </c>
      <c r="K121" s="22" t="s">
        <v>576</v>
      </c>
      <c r="L121" s="5" t="s">
        <v>480</v>
      </c>
      <c r="M121" s="5" t="s">
        <v>482</v>
      </c>
      <c r="N121" s="5" t="s">
        <v>481</v>
      </c>
      <c r="O121" s="5" t="s">
        <v>847</v>
      </c>
      <c r="P121" s="5">
        <v>17</v>
      </c>
      <c r="Q121" s="5">
        <v>0</v>
      </c>
      <c r="R121" s="5">
        <v>0</v>
      </c>
      <c r="S121" s="5" t="s">
        <v>7</v>
      </c>
      <c r="T121" s="5">
        <v>17</v>
      </c>
      <c r="U121" s="24"/>
      <c r="V121" s="5" t="s">
        <v>577</v>
      </c>
    </row>
    <row r="122" spans="1:22" ht="28.8" x14ac:dyDescent="0.3">
      <c r="A122" s="5">
        <v>121</v>
      </c>
      <c r="B122" s="5" t="s">
        <v>230</v>
      </c>
      <c r="C122" s="5">
        <v>95127</v>
      </c>
      <c r="D122" s="5" t="str">
        <f>"484-44-061"</f>
        <v>484-44-061</v>
      </c>
      <c r="E122" s="5" t="s">
        <v>527</v>
      </c>
      <c r="F122" s="5" t="s">
        <v>5</v>
      </c>
      <c r="G122" s="22" t="s">
        <v>508</v>
      </c>
      <c r="H122" s="22">
        <v>0</v>
      </c>
      <c r="I122" s="5">
        <v>0</v>
      </c>
      <c r="J122" s="23">
        <v>1.8876245041656501</v>
      </c>
      <c r="K122" s="22" t="s">
        <v>582</v>
      </c>
      <c r="L122" s="5" t="s">
        <v>480</v>
      </c>
      <c r="M122" s="5" t="s">
        <v>482</v>
      </c>
      <c r="N122" s="5" t="s">
        <v>481</v>
      </c>
      <c r="O122" s="5" t="s">
        <v>847</v>
      </c>
      <c r="P122" s="5">
        <v>134</v>
      </c>
      <c r="Q122" s="5">
        <v>0</v>
      </c>
      <c r="R122" s="5">
        <v>0</v>
      </c>
      <c r="S122" s="5" t="s">
        <v>7</v>
      </c>
      <c r="T122" s="5">
        <v>134</v>
      </c>
      <c r="U122" s="24" t="s">
        <v>607</v>
      </c>
      <c r="V122" s="5" t="s">
        <v>732</v>
      </c>
    </row>
    <row r="123" spans="1:22" x14ac:dyDescent="0.3">
      <c r="A123" s="5">
        <v>122</v>
      </c>
      <c r="B123" s="5" t="s">
        <v>94</v>
      </c>
      <c r="C123" s="5">
        <v>95128</v>
      </c>
      <c r="D123" s="5" t="str">
        <f>"279-25-013"</f>
        <v>279-25-013</v>
      </c>
      <c r="E123" s="5"/>
      <c r="F123" s="5" t="s">
        <v>50</v>
      </c>
      <c r="G123" s="5" t="s">
        <v>508</v>
      </c>
      <c r="H123" s="22">
        <v>45</v>
      </c>
      <c r="I123" s="5">
        <v>95</v>
      </c>
      <c r="J123" s="23">
        <v>0.449122449616293</v>
      </c>
      <c r="K123" s="22" t="s">
        <v>576</v>
      </c>
      <c r="L123" s="5" t="s">
        <v>480</v>
      </c>
      <c r="M123" s="5" t="s">
        <v>482</v>
      </c>
      <c r="N123" s="5" t="s">
        <v>481</v>
      </c>
      <c r="O123" s="5" t="s">
        <v>483</v>
      </c>
      <c r="P123" s="5">
        <v>30</v>
      </c>
      <c r="Q123" s="5">
        <v>0</v>
      </c>
      <c r="R123" s="5">
        <v>0</v>
      </c>
      <c r="S123" s="5" t="s">
        <v>7</v>
      </c>
      <c r="T123" s="5">
        <v>30</v>
      </c>
      <c r="U123" s="24"/>
      <c r="V123" s="5" t="s">
        <v>838</v>
      </c>
    </row>
    <row r="124" spans="1:22" ht="28.8" x14ac:dyDescent="0.3">
      <c r="A124" s="5">
        <v>123</v>
      </c>
      <c r="B124" s="5" t="s">
        <v>80</v>
      </c>
      <c r="C124" s="5">
        <v>95124</v>
      </c>
      <c r="D124" s="5" t="str">
        <f>"414-26-009"</f>
        <v>414-26-009</v>
      </c>
      <c r="E124" s="5" t="s">
        <v>497</v>
      </c>
      <c r="F124" s="5" t="s">
        <v>5</v>
      </c>
      <c r="G124" s="22" t="s">
        <v>508</v>
      </c>
      <c r="H124" s="22">
        <v>0</v>
      </c>
      <c r="I124" s="5">
        <v>0</v>
      </c>
      <c r="J124" s="23">
        <v>0.76408139957792198</v>
      </c>
      <c r="K124" s="22" t="s">
        <v>579</v>
      </c>
      <c r="L124" s="5" t="s">
        <v>480</v>
      </c>
      <c r="M124" s="5" t="s">
        <v>482</v>
      </c>
      <c r="N124" s="5" t="s">
        <v>481</v>
      </c>
      <c r="O124" s="5" t="s">
        <v>483</v>
      </c>
      <c r="P124" s="5">
        <v>54</v>
      </c>
      <c r="Q124" s="5">
        <v>0</v>
      </c>
      <c r="R124" s="5">
        <v>0</v>
      </c>
      <c r="S124" s="5" t="s">
        <v>7</v>
      </c>
      <c r="T124" s="5">
        <v>54</v>
      </c>
      <c r="U124" s="24" t="s">
        <v>607</v>
      </c>
      <c r="V124" s="5" t="s">
        <v>631</v>
      </c>
    </row>
    <row r="125" spans="1:22" ht="28.8" x14ac:dyDescent="0.3">
      <c r="A125" s="5">
        <v>124</v>
      </c>
      <c r="B125" s="5" t="s">
        <v>196</v>
      </c>
      <c r="C125" s="5">
        <v>95123</v>
      </c>
      <c r="D125" s="5" t="str">
        <f>"464-14-006"</f>
        <v>464-14-006</v>
      </c>
      <c r="E125" s="5" t="s">
        <v>521</v>
      </c>
      <c r="F125" s="5" t="s">
        <v>5</v>
      </c>
      <c r="G125" s="22" t="s">
        <v>508</v>
      </c>
      <c r="H125" s="22">
        <v>0</v>
      </c>
      <c r="I125" s="5">
        <v>0</v>
      </c>
      <c r="J125" s="23">
        <v>0.97488150230699</v>
      </c>
      <c r="K125" s="22" t="s">
        <v>576</v>
      </c>
      <c r="L125" s="5" t="s">
        <v>480</v>
      </c>
      <c r="M125" s="5" t="s">
        <v>482</v>
      </c>
      <c r="N125" s="5" t="s">
        <v>481</v>
      </c>
      <c r="O125" s="5" t="s">
        <v>483</v>
      </c>
      <c r="P125" s="5">
        <v>69</v>
      </c>
      <c r="Q125" s="5">
        <v>0</v>
      </c>
      <c r="R125" s="5">
        <v>0</v>
      </c>
      <c r="S125" s="5" t="s">
        <v>7</v>
      </c>
      <c r="T125" s="5">
        <v>69</v>
      </c>
      <c r="U125" s="24" t="s">
        <v>607</v>
      </c>
      <c r="V125" s="5" t="s">
        <v>715</v>
      </c>
    </row>
    <row r="126" spans="1:22" x14ac:dyDescent="0.3">
      <c r="A126" s="5">
        <v>125</v>
      </c>
      <c r="B126" s="5" t="s">
        <v>431</v>
      </c>
      <c r="C126" s="5">
        <v>95125</v>
      </c>
      <c r="D126" s="5" t="str">
        <f>"439-26-057"</f>
        <v>439-26-057</v>
      </c>
      <c r="E126" s="5"/>
      <c r="F126" s="5" t="s">
        <v>5</v>
      </c>
      <c r="G126" s="22" t="s">
        <v>508</v>
      </c>
      <c r="H126" s="22">
        <v>0</v>
      </c>
      <c r="I126" s="5">
        <v>0</v>
      </c>
      <c r="J126" s="23">
        <v>0.67281278330487504</v>
      </c>
      <c r="K126" s="22" t="s">
        <v>576</v>
      </c>
      <c r="L126" s="5" t="s">
        <v>480</v>
      </c>
      <c r="M126" s="5" t="s">
        <v>482</v>
      </c>
      <c r="N126" s="5" t="s">
        <v>481</v>
      </c>
      <c r="O126" s="5" t="s">
        <v>483</v>
      </c>
      <c r="P126" s="5">
        <v>63</v>
      </c>
      <c r="Q126" s="5">
        <v>0</v>
      </c>
      <c r="R126" s="5">
        <v>0</v>
      </c>
      <c r="S126" s="5" t="s">
        <v>7</v>
      </c>
      <c r="T126" s="5">
        <v>63</v>
      </c>
      <c r="U126" s="24" t="s">
        <v>595</v>
      </c>
      <c r="V126" s="5" t="s">
        <v>692</v>
      </c>
    </row>
    <row r="127" spans="1:22" ht="28.8" x14ac:dyDescent="0.3">
      <c r="A127" s="5">
        <v>126</v>
      </c>
      <c r="B127" s="5" t="s">
        <v>190</v>
      </c>
      <c r="C127" s="5">
        <v>95118</v>
      </c>
      <c r="D127" s="5" t="str">
        <f>"451-09-064"</f>
        <v>451-09-064</v>
      </c>
      <c r="E127" s="5" t="s">
        <v>520</v>
      </c>
      <c r="F127" s="5" t="s">
        <v>5</v>
      </c>
      <c r="G127" s="22" t="s">
        <v>508</v>
      </c>
      <c r="H127" s="22">
        <v>0</v>
      </c>
      <c r="I127" s="5">
        <v>0</v>
      </c>
      <c r="J127" s="23">
        <v>0.84586055242826197</v>
      </c>
      <c r="K127" s="22" t="s">
        <v>576</v>
      </c>
      <c r="L127" s="5" t="s">
        <v>480</v>
      </c>
      <c r="M127" s="5" t="s">
        <v>482</v>
      </c>
      <c r="N127" s="5" t="s">
        <v>481</v>
      </c>
      <c r="O127" s="5" t="s">
        <v>483</v>
      </c>
      <c r="P127" s="5">
        <v>60</v>
      </c>
      <c r="Q127" s="5">
        <v>0</v>
      </c>
      <c r="R127" s="5">
        <v>0</v>
      </c>
      <c r="S127" s="5" t="s">
        <v>7</v>
      </c>
      <c r="T127" s="5">
        <v>60</v>
      </c>
      <c r="U127" s="24" t="s">
        <v>607</v>
      </c>
      <c r="V127" s="5" t="s">
        <v>711</v>
      </c>
    </row>
    <row r="128" spans="1:22" x14ac:dyDescent="0.3">
      <c r="A128" s="5">
        <v>127</v>
      </c>
      <c r="B128" s="5" t="s">
        <v>433</v>
      </c>
      <c r="C128" s="5">
        <v>95125</v>
      </c>
      <c r="D128" s="5" t="str">
        <f>"439-48-039"</f>
        <v>439-48-039</v>
      </c>
      <c r="E128" s="5" t="s">
        <v>492</v>
      </c>
      <c r="F128" s="5" t="s">
        <v>5</v>
      </c>
      <c r="G128" s="22" t="s">
        <v>508</v>
      </c>
      <c r="H128" s="22">
        <v>0</v>
      </c>
      <c r="I128" s="5">
        <v>0</v>
      </c>
      <c r="J128" s="23">
        <v>1.53457409413792</v>
      </c>
      <c r="K128" s="22" t="s">
        <v>576</v>
      </c>
      <c r="L128" s="5" t="s">
        <v>480</v>
      </c>
      <c r="M128" s="5" t="s">
        <v>482</v>
      </c>
      <c r="N128" s="5" t="s">
        <v>481</v>
      </c>
      <c r="O128" s="5" t="s">
        <v>483</v>
      </c>
      <c r="P128" s="5">
        <v>109</v>
      </c>
      <c r="Q128" s="5">
        <v>0</v>
      </c>
      <c r="R128" s="5">
        <v>0</v>
      </c>
      <c r="S128" s="5" t="s">
        <v>7</v>
      </c>
      <c r="T128" s="5">
        <v>109</v>
      </c>
      <c r="U128" s="24" t="s">
        <v>595</v>
      </c>
      <c r="V128" s="5" t="s">
        <v>805</v>
      </c>
    </row>
    <row r="129" spans="1:22" x14ac:dyDescent="0.3">
      <c r="A129" s="5">
        <v>128</v>
      </c>
      <c r="B129" s="5" t="s">
        <v>109</v>
      </c>
      <c r="C129" s="5">
        <v>95128</v>
      </c>
      <c r="D129" s="5" t="str">
        <f>"282-19-033"</f>
        <v>282-19-033</v>
      </c>
      <c r="E129" s="5"/>
      <c r="F129" s="5" t="s">
        <v>9</v>
      </c>
      <c r="G129" s="22" t="s">
        <v>18</v>
      </c>
      <c r="H129" s="22">
        <v>0</v>
      </c>
      <c r="I129" s="5">
        <v>150</v>
      </c>
      <c r="J129" s="23">
        <v>0.78337799148071297</v>
      </c>
      <c r="K129" s="22" t="s">
        <v>579</v>
      </c>
      <c r="L129" s="5" t="s">
        <v>480</v>
      </c>
      <c r="M129" s="5" t="s">
        <v>482</v>
      </c>
      <c r="N129" s="5" t="s">
        <v>481</v>
      </c>
      <c r="O129" s="5" t="s">
        <v>483</v>
      </c>
      <c r="P129" s="5">
        <v>0</v>
      </c>
      <c r="Q129" s="5">
        <v>49</v>
      </c>
      <c r="R129" s="5">
        <v>0</v>
      </c>
      <c r="S129" s="5" t="s">
        <v>21</v>
      </c>
      <c r="T129" s="5">
        <v>49</v>
      </c>
      <c r="U129" s="24"/>
      <c r="V129" s="5" t="s">
        <v>655</v>
      </c>
    </row>
    <row r="130" spans="1:22" ht="28.8" x14ac:dyDescent="0.3">
      <c r="A130" s="5">
        <v>129</v>
      </c>
      <c r="B130" s="5" t="s">
        <v>84</v>
      </c>
      <c r="C130" s="5">
        <v>95124</v>
      </c>
      <c r="D130" s="5" t="str">
        <f>"414-32-010"</f>
        <v>414-32-010</v>
      </c>
      <c r="E130" s="5"/>
      <c r="F130" s="5" t="s">
        <v>5</v>
      </c>
      <c r="G130" s="22" t="s">
        <v>508</v>
      </c>
      <c r="H130" s="22">
        <v>0</v>
      </c>
      <c r="I130" s="5">
        <v>0</v>
      </c>
      <c r="J130" s="23">
        <v>1.5195535654786301</v>
      </c>
      <c r="K130" s="22" t="s">
        <v>576</v>
      </c>
      <c r="L130" s="5" t="s">
        <v>480</v>
      </c>
      <c r="M130" s="5" t="s">
        <v>482</v>
      </c>
      <c r="N130" s="5" t="s">
        <v>481</v>
      </c>
      <c r="O130" s="5" t="s">
        <v>483</v>
      </c>
      <c r="P130" s="5">
        <v>108</v>
      </c>
      <c r="Q130" s="5">
        <v>0</v>
      </c>
      <c r="R130" s="5">
        <v>0</v>
      </c>
      <c r="S130" s="5" t="s">
        <v>7</v>
      </c>
      <c r="T130" s="5">
        <v>108</v>
      </c>
      <c r="U130" s="24" t="s">
        <v>607</v>
      </c>
      <c r="V130" s="5" t="s">
        <v>639</v>
      </c>
    </row>
    <row r="131" spans="1:22" ht="28.8" x14ac:dyDescent="0.3">
      <c r="A131" s="5">
        <v>130</v>
      </c>
      <c r="B131" s="5" t="s">
        <v>173</v>
      </c>
      <c r="C131" s="5">
        <v>95129</v>
      </c>
      <c r="D131" s="5" t="str">
        <f>"372-24-006"</f>
        <v>372-24-006</v>
      </c>
      <c r="E131" s="5"/>
      <c r="F131" s="5" t="s">
        <v>5</v>
      </c>
      <c r="G131" s="22" t="s">
        <v>508</v>
      </c>
      <c r="H131" s="22">
        <v>0</v>
      </c>
      <c r="I131" s="5">
        <v>0</v>
      </c>
      <c r="J131" s="23">
        <v>0.62633562511950103</v>
      </c>
      <c r="K131" s="22" t="s">
        <v>576</v>
      </c>
      <c r="L131" s="5" t="s">
        <v>480</v>
      </c>
      <c r="M131" s="5" t="s">
        <v>482</v>
      </c>
      <c r="N131" s="5" t="s">
        <v>481</v>
      </c>
      <c r="O131" s="5" t="s">
        <v>483</v>
      </c>
      <c r="P131" s="5">
        <v>40</v>
      </c>
      <c r="Q131" s="5">
        <v>0</v>
      </c>
      <c r="R131" s="5">
        <v>0</v>
      </c>
      <c r="S131" s="5" t="s">
        <v>7</v>
      </c>
      <c r="T131" s="5">
        <v>40</v>
      </c>
      <c r="U131" s="24" t="s">
        <v>607</v>
      </c>
      <c r="V131" s="5" t="s">
        <v>702</v>
      </c>
    </row>
    <row r="132" spans="1:22" ht="28.8" x14ac:dyDescent="0.3">
      <c r="A132" s="5">
        <v>131</v>
      </c>
      <c r="B132" s="5" t="s">
        <v>185</v>
      </c>
      <c r="C132" s="5">
        <v>95129</v>
      </c>
      <c r="D132" s="5" t="str">
        <f>"386-11-051"</f>
        <v>386-11-051</v>
      </c>
      <c r="E132" s="5" t="s">
        <v>517</v>
      </c>
      <c r="F132" s="5" t="s">
        <v>5</v>
      </c>
      <c r="G132" s="22" t="s">
        <v>508</v>
      </c>
      <c r="H132" s="22">
        <v>0</v>
      </c>
      <c r="I132" s="5">
        <v>0</v>
      </c>
      <c r="J132" s="23">
        <v>0.77101031338410297</v>
      </c>
      <c r="K132" s="22" t="s">
        <v>576</v>
      </c>
      <c r="L132" s="5" t="s">
        <v>480</v>
      </c>
      <c r="M132" s="5" t="s">
        <v>482</v>
      </c>
      <c r="N132" s="5" t="s">
        <v>481</v>
      </c>
      <c r="O132" s="5" t="s">
        <v>483</v>
      </c>
      <c r="P132" s="5">
        <v>52</v>
      </c>
      <c r="Q132" s="5">
        <v>0</v>
      </c>
      <c r="R132" s="5">
        <v>0</v>
      </c>
      <c r="S132" s="5" t="s">
        <v>7</v>
      </c>
      <c r="T132" s="5">
        <v>52</v>
      </c>
      <c r="U132" s="24" t="s">
        <v>607</v>
      </c>
      <c r="V132" s="5" t="s">
        <v>709</v>
      </c>
    </row>
    <row r="133" spans="1:22" ht="28.8" x14ac:dyDescent="0.3">
      <c r="A133" s="5">
        <v>132</v>
      </c>
      <c r="B133" s="5" t="s">
        <v>175</v>
      </c>
      <c r="C133" s="5">
        <v>95129</v>
      </c>
      <c r="D133" s="5" t="str">
        <f>"372-26-021"</f>
        <v>372-26-021</v>
      </c>
      <c r="E133" s="5" t="s">
        <v>516</v>
      </c>
      <c r="F133" s="5" t="s">
        <v>5</v>
      </c>
      <c r="G133" s="22" t="s">
        <v>508</v>
      </c>
      <c r="H133" s="22">
        <v>0</v>
      </c>
      <c r="I133" s="5">
        <v>0</v>
      </c>
      <c r="J133" s="23">
        <v>0.66698223887131702</v>
      </c>
      <c r="K133" s="22" t="s">
        <v>576</v>
      </c>
      <c r="L133" s="5" t="s">
        <v>480</v>
      </c>
      <c r="M133" s="5" t="s">
        <v>482</v>
      </c>
      <c r="N133" s="5" t="s">
        <v>481</v>
      </c>
      <c r="O133" s="5" t="s">
        <v>483</v>
      </c>
      <c r="P133" s="5">
        <v>47</v>
      </c>
      <c r="Q133" s="5">
        <v>0</v>
      </c>
      <c r="R133" s="5">
        <v>0</v>
      </c>
      <c r="S133" s="5" t="s">
        <v>7</v>
      </c>
      <c r="T133" s="5">
        <v>47</v>
      </c>
      <c r="U133" s="24" t="s">
        <v>607</v>
      </c>
      <c r="V133" s="5" t="s">
        <v>704</v>
      </c>
    </row>
    <row r="134" spans="1:22" x14ac:dyDescent="0.3">
      <c r="A134" s="5">
        <v>133</v>
      </c>
      <c r="B134" s="5" t="s">
        <v>78</v>
      </c>
      <c r="C134" s="5">
        <v>95126</v>
      </c>
      <c r="D134" s="5" t="str">
        <f>"261-12-084"</f>
        <v>261-12-084</v>
      </c>
      <c r="E134" s="5"/>
      <c r="F134" s="5" t="s">
        <v>5</v>
      </c>
      <c r="G134" s="22" t="s">
        <v>508</v>
      </c>
      <c r="H134" s="22">
        <v>0</v>
      </c>
      <c r="I134" s="5">
        <v>0</v>
      </c>
      <c r="J134" s="23">
        <v>0.99941508837802495</v>
      </c>
      <c r="K134" s="22" t="s">
        <v>577</v>
      </c>
      <c r="L134" s="5" t="s">
        <v>480</v>
      </c>
      <c r="M134" s="5" t="s">
        <v>482</v>
      </c>
      <c r="N134" s="5" t="s">
        <v>481</v>
      </c>
      <c r="O134" s="5" t="s">
        <v>483</v>
      </c>
      <c r="P134" s="5">
        <v>95</v>
      </c>
      <c r="Q134" s="5">
        <v>0</v>
      </c>
      <c r="R134" s="5">
        <v>0</v>
      </c>
      <c r="S134" s="5" t="s">
        <v>7</v>
      </c>
      <c r="T134" s="5">
        <v>95</v>
      </c>
      <c r="U134" s="24"/>
      <c r="V134" s="5" t="s">
        <v>685</v>
      </c>
    </row>
    <row r="135" spans="1:22" x14ac:dyDescent="0.3">
      <c r="A135" s="5">
        <v>134</v>
      </c>
      <c r="B135" s="5" t="s">
        <v>40</v>
      </c>
      <c r="C135" s="5">
        <v>95133</v>
      </c>
      <c r="D135" s="5" t="str">
        <f>"254-80-023"</f>
        <v>254-80-023</v>
      </c>
      <c r="E135" s="5" t="s">
        <v>491</v>
      </c>
      <c r="F135" s="5" t="s">
        <v>5</v>
      </c>
      <c r="G135" s="22" t="s">
        <v>508</v>
      </c>
      <c r="H135" s="22">
        <v>0</v>
      </c>
      <c r="I135" s="5">
        <v>0</v>
      </c>
      <c r="J135" s="23">
        <v>0.77319178889879903</v>
      </c>
      <c r="K135" s="22" t="s">
        <v>577</v>
      </c>
      <c r="L135" s="5" t="s">
        <v>480</v>
      </c>
      <c r="M135" s="5" t="s">
        <v>482</v>
      </c>
      <c r="N135" s="5" t="s">
        <v>481</v>
      </c>
      <c r="O135" s="5" t="s">
        <v>483</v>
      </c>
      <c r="P135" s="5">
        <v>82</v>
      </c>
      <c r="Q135" s="5">
        <v>0</v>
      </c>
      <c r="R135" s="5">
        <v>0</v>
      </c>
      <c r="S135" s="5" t="s">
        <v>7</v>
      </c>
      <c r="T135" s="5">
        <v>82</v>
      </c>
      <c r="U135" s="24" t="s">
        <v>595</v>
      </c>
      <c r="V135" s="5" t="s">
        <v>614</v>
      </c>
    </row>
    <row r="136" spans="1:22" ht="28.8" x14ac:dyDescent="0.3">
      <c r="A136" s="5">
        <v>135</v>
      </c>
      <c r="B136" s="5" t="s">
        <v>198</v>
      </c>
      <c r="C136" s="5">
        <v>95123</v>
      </c>
      <c r="D136" s="5" t="str">
        <f>"464-14-015"</f>
        <v>464-14-015</v>
      </c>
      <c r="E136" s="5" t="s">
        <v>522</v>
      </c>
      <c r="F136" s="5" t="s">
        <v>5</v>
      </c>
      <c r="G136" s="22" t="s">
        <v>508</v>
      </c>
      <c r="H136" s="22">
        <v>0</v>
      </c>
      <c r="I136" s="5">
        <v>0</v>
      </c>
      <c r="J136" s="23">
        <v>0.51965009678983298</v>
      </c>
      <c r="K136" s="22" t="s">
        <v>576</v>
      </c>
      <c r="L136" s="5" t="s">
        <v>480</v>
      </c>
      <c r="M136" s="5" t="s">
        <v>482</v>
      </c>
      <c r="N136" s="5" t="s">
        <v>481</v>
      </c>
      <c r="O136" s="5" t="s">
        <v>483</v>
      </c>
      <c r="P136" s="5">
        <v>35</v>
      </c>
      <c r="Q136" s="5">
        <v>0</v>
      </c>
      <c r="R136" s="5">
        <v>0</v>
      </c>
      <c r="S136" s="5" t="s">
        <v>7</v>
      </c>
      <c r="T136" s="5">
        <v>35</v>
      </c>
      <c r="U136" s="24" t="s">
        <v>607</v>
      </c>
      <c r="V136" s="5" t="s">
        <v>716</v>
      </c>
    </row>
    <row r="137" spans="1:22" ht="28.8" x14ac:dyDescent="0.3">
      <c r="A137" s="5">
        <v>136</v>
      </c>
      <c r="B137" s="5" t="s">
        <v>191</v>
      </c>
      <c r="C137" s="5">
        <v>95118</v>
      </c>
      <c r="D137" s="5" t="str">
        <f>"451-09-068"</f>
        <v>451-09-068</v>
      </c>
      <c r="E137" s="5" t="s">
        <v>520</v>
      </c>
      <c r="F137" s="5" t="s">
        <v>5</v>
      </c>
      <c r="G137" s="22" t="s">
        <v>508</v>
      </c>
      <c r="H137" s="22">
        <v>0</v>
      </c>
      <c r="I137" s="5">
        <v>0</v>
      </c>
      <c r="J137" s="23">
        <v>1.5402789797733201</v>
      </c>
      <c r="K137" s="22" t="s">
        <v>576</v>
      </c>
      <c r="L137" s="5" t="s">
        <v>480</v>
      </c>
      <c r="M137" s="5" t="s">
        <v>482</v>
      </c>
      <c r="N137" s="5" t="s">
        <v>481</v>
      </c>
      <c r="O137" s="5" t="s">
        <v>483</v>
      </c>
      <c r="P137" s="5">
        <v>109</v>
      </c>
      <c r="Q137" s="5">
        <v>0</v>
      </c>
      <c r="R137" s="5">
        <v>0</v>
      </c>
      <c r="S137" s="5" t="s">
        <v>7</v>
      </c>
      <c r="T137" s="5">
        <v>109</v>
      </c>
      <c r="U137" s="24" t="s">
        <v>607</v>
      </c>
      <c r="V137" s="5" t="s">
        <v>606</v>
      </c>
    </row>
    <row r="138" spans="1:22" x14ac:dyDescent="0.3">
      <c r="A138" s="5">
        <v>137</v>
      </c>
      <c r="B138" s="5" t="s">
        <v>61</v>
      </c>
      <c r="C138" s="5">
        <v>95127</v>
      </c>
      <c r="D138" s="5" t="str">
        <f>"484-31-010"</f>
        <v>484-31-010</v>
      </c>
      <c r="E138" s="5"/>
      <c r="F138" s="5" t="s">
        <v>5</v>
      </c>
      <c r="G138" s="22" t="s">
        <v>508</v>
      </c>
      <c r="H138" s="22">
        <v>0</v>
      </c>
      <c r="I138" s="5">
        <v>0</v>
      </c>
      <c r="J138" s="23">
        <v>0.58822686102807697</v>
      </c>
      <c r="K138" s="22" t="s">
        <v>577</v>
      </c>
      <c r="L138" s="5" t="s">
        <v>480</v>
      </c>
      <c r="M138" s="5" t="s">
        <v>482</v>
      </c>
      <c r="N138" s="5" t="s">
        <v>481</v>
      </c>
      <c r="O138" s="5" t="s">
        <v>483</v>
      </c>
      <c r="P138" s="5">
        <v>74</v>
      </c>
      <c r="Q138" s="5">
        <v>0</v>
      </c>
      <c r="R138" s="5">
        <v>0</v>
      </c>
      <c r="S138" s="5" t="s">
        <v>7</v>
      </c>
      <c r="T138" s="5">
        <v>74</v>
      </c>
      <c r="U138" s="24" t="s">
        <v>595</v>
      </c>
      <c r="V138" s="5" t="s">
        <v>616</v>
      </c>
    </row>
    <row r="139" spans="1:22" ht="28.8" x14ac:dyDescent="0.3">
      <c r="A139" s="5">
        <v>138</v>
      </c>
      <c r="B139" s="5" t="s">
        <v>65</v>
      </c>
      <c r="C139" s="5">
        <v>95132</v>
      </c>
      <c r="D139" s="5" t="str">
        <f>"587-10-005"</f>
        <v>587-10-005</v>
      </c>
      <c r="E139" s="5"/>
      <c r="F139" s="5" t="s">
        <v>5</v>
      </c>
      <c r="G139" s="22" t="s">
        <v>508</v>
      </c>
      <c r="H139" s="22">
        <v>0</v>
      </c>
      <c r="I139" s="5">
        <v>0</v>
      </c>
      <c r="J139" s="23">
        <v>0.91288912411039802</v>
      </c>
      <c r="K139" s="22" t="s">
        <v>576</v>
      </c>
      <c r="L139" s="5" t="s">
        <v>480</v>
      </c>
      <c r="M139" s="5" t="s">
        <v>482</v>
      </c>
      <c r="N139" s="5" t="s">
        <v>481</v>
      </c>
      <c r="O139" s="5" t="s">
        <v>483</v>
      </c>
      <c r="P139" s="5">
        <v>58</v>
      </c>
      <c r="Q139" s="5">
        <v>0</v>
      </c>
      <c r="R139" s="5">
        <v>0</v>
      </c>
      <c r="S139" s="5" t="s">
        <v>7</v>
      </c>
      <c r="T139" s="5">
        <v>58</v>
      </c>
      <c r="U139" s="24" t="s">
        <v>607</v>
      </c>
      <c r="V139" s="5" t="s">
        <v>626</v>
      </c>
    </row>
    <row r="140" spans="1:22" x14ac:dyDescent="0.3">
      <c r="A140" s="5">
        <v>139</v>
      </c>
      <c r="B140" s="5" t="s">
        <v>24</v>
      </c>
      <c r="C140" s="5">
        <v>95116</v>
      </c>
      <c r="D140" s="5" t="str">
        <f>"481-05-037"</f>
        <v>481-05-037</v>
      </c>
      <c r="E140" s="5"/>
      <c r="F140" s="5" t="s">
        <v>5</v>
      </c>
      <c r="G140" s="22" t="s">
        <v>500</v>
      </c>
      <c r="H140" s="22">
        <v>0</v>
      </c>
      <c r="I140" s="5">
        <v>0</v>
      </c>
      <c r="J140" s="23">
        <v>0.62986216832318798</v>
      </c>
      <c r="K140" s="22" t="s">
        <v>576</v>
      </c>
      <c r="L140" s="5" t="s">
        <v>480</v>
      </c>
      <c r="M140" s="5" t="s">
        <v>482</v>
      </c>
      <c r="N140" s="5" t="s">
        <v>481</v>
      </c>
      <c r="O140" s="5" t="s">
        <v>483</v>
      </c>
      <c r="P140" s="5">
        <v>49</v>
      </c>
      <c r="Q140" s="5">
        <v>0</v>
      </c>
      <c r="R140" s="5">
        <v>0</v>
      </c>
      <c r="S140" s="5" t="s">
        <v>7</v>
      </c>
      <c r="T140" s="5">
        <v>49</v>
      </c>
      <c r="U140" s="24" t="s">
        <v>595</v>
      </c>
      <c r="V140" s="5" t="s">
        <v>597</v>
      </c>
    </row>
    <row r="141" spans="1:22" x14ac:dyDescent="0.3">
      <c r="A141" s="5">
        <v>140</v>
      </c>
      <c r="B141" s="5" t="s">
        <v>78</v>
      </c>
      <c r="C141" s="5">
        <v>95113</v>
      </c>
      <c r="D141" s="5" t="str">
        <f>"467-22-160"</f>
        <v>467-22-160</v>
      </c>
      <c r="E141" s="5"/>
      <c r="F141" s="5" t="s">
        <v>20</v>
      </c>
      <c r="G141" s="22" t="s">
        <v>584</v>
      </c>
      <c r="H141" s="22">
        <v>0</v>
      </c>
      <c r="I141" s="5">
        <v>800</v>
      </c>
      <c r="J141" s="23">
        <v>1.3420883138040101</v>
      </c>
      <c r="K141" s="22" t="s">
        <v>582</v>
      </c>
      <c r="L141" s="5" t="s">
        <v>480</v>
      </c>
      <c r="M141" s="5" t="s">
        <v>482</v>
      </c>
      <c r="N141" s="5" t="s">
        <v>481</v>
      </c>
      <c r="O141" s="5" t="s">
        <v>847</v>
      </c>
      <c r="P141" s="5">
        <v>0</v>
      </c>
      <c r="Q141" s="5">
        <v>0</v>
      </c>
      <c r="R141" s="5">
        <v>0</v>
      </c>
      <c r="S141" s="5" t="s">
        <v>7</v>
      </c>
      <c r="T141" s="5">
        <v>170</v>
      </c>
      <c r="U141" s="24"/>
      <c r="V141" s="5" t="s">
        <v>823</v>
      </c>
    </row>
    <row r="142" spans="1:22" x14ac:dyDescent="0.3">
      <c r="A142" s="5">
        <v>141</v>
      </c>
      <c r="B142" s="5" t="s">
        <v>63</v>
      </c>
      <c r="C142" s="5">
        <v>95122</v>
      </c>
      <c r="D142" s="5" t="str">
        <f>"491-28-127"</f>
        <v>491-28-127</v>
      </c>
      <c r="E142" s="5"/>
      <c r="F142" s="5" t="s">
        <v>5</v>
      </c>
      <c r="G142" s="22" t="s">
        <v>508</v>
      </c>
      <c r="H142" s="22">
        <v>0</v>
      </c>
      <c r="I142" s="5">
        <v>0</v>
      </c>
      <c r="J142" s="23">
        <v>0.63025886276042398</v>
      </c>
      <c r="K142" s="22" t="s">
        <v>576</v>
      </c>
      <c r="L142" s="5" t="s">
        <v>480</v>
      </c>
      <c r="M142" s="5" t="s">
        <v>482</v>
      </c>
      <c r="N142" s="5" t="s">
        <v>481</v>
      </c>
      <c r="O142" s="5" t="s">
        <v>483</v>
      </c>
      <c r="P142" s="5">
        <v>49</v>
      </c>
      <c r="Q142" s="5">
        <v>0</v>
      </c>
      <c r="R142" s="5">
        <v>0</v>
      </c>
      <c r="S142" s="5" t="s">
        <v>7</v>
      </c>
      <c r="T142" s="5">
        <v>49</v>
      </c>
      <c r="U142" s="24" t="s">
        <v>595</v>
      </c>
      <c r="V142" s="5" t="s">
        <v>605</v>
      </c>
    </row>
    <row r="143" spans="1:22" ht="28.8" x14ac:dyDescent="0.3">
      <c r="A143" s="5">
        <v>142</v>
      </c>
      <c r="B143" s="5" t="s">
        <v>203</v>
      </c>
      <c r="C143" s="5">
        <v>95124</v>
      </c>
      <c r="D143" s="5" t="str">
        <f>"569-16-006"</f>
        <v>569-16-006</v>
      </c>
      <c r="E143" s="5"/>
      <c r="F143" s="5" t="s">
        <v>5</v>
      </c>
      <c r="G143" s="22" t="s">
        <v>508</v>
      </c>
      <c r="H143" s="22">
        <v>0</v>
      </c>
      <c r="I143" s="5">
        <v>0</v>
      </c>
      <c r="J143" s="23">
        <v>0.66958103026095295</v>
      </c>
      <c r="K143" s="22" t="s">
        <v>576</v>
      </c>
      <c r="L143" s="5" t="s">
        <v>480</v>
      </c>
      <c r="M143" s="5" t="s">
        <v>482</v>
      </c>
      <c r="N143" s="5" t="s">
        <v>481</v>
      </c>
      <c r="O143" s="5" t="s">
        <v>483</v>
      </c>
      <c r="P143" s="5">
        <v>43</v>
      </c>
      <c r="Q143" s="5">
        <v>0</v>
      </c>
      <c r="R143" s="5">
        <v>0</v>
      </c>
      <c r="S143" s="5" t="s">
        <v>7</v>
      </c>
      <c r="T143" s="5">
        <v>43</v>
      </c>
      <c r="U143" s="24" t="s">
        <v>607</v>
      </c>
      <c r="V143" s="5" t="s">
        <v>718</v>
      </c>
    </row>
    <row r="144" spans="1:22" x14ac:dyDescent="0.3">
      <c r="A144" s="5">
        <v>143</v>
      </c>
      <c r="B144" s="5" t="s">
        <v>178</v>
      </c>
      <c r="C144" s="5">
        <v>95128</v>
      </c>
      <c r="D144" s="5" t="str">
        <f>"305-01-001"</f>
        <v>305-01-001</v>
      </c>
      <c r="E144" s="5"/>
      <c r="F144" s="5" t="s">
        <v>9</v>
      </c>
      <c r="G144" s="22" t="s">
        <v>18</v>
      </c>
      <c r="H144" s="22">
        <v>65</v>
      </c>
      <c r="I144" s="5">
        <v>250</v>
      </c>
      <c r="J144" s="23">
        <v>1.3985493258045401</v>
      </c>
      <c r="K144" s="22" t="s">
        <v>576</v>
      </c>
      <c r="L144" s="5" t="s">
        <v>480</v>
      </c>
      <c r="M144" s="5" t="s">
        <v>482</v>
      </c>
      <c r="N144" s="5" t="s">
        <v>481</v>
      </c>
      <c r="O144" s="5" t="s">
        <v>483</v>
      </c>
      <c r="P144" s="5">
        <v>178</v>
      </c>
      <c r="Q144" s="5">
        <v>0</v>
      </c>
      <c r="R144" s="5">
        <v>0</v>
      </c>
      <c r="S144" s="5" t="s">
        <v>7</v>
      </c>
      <c r="T144" s="5">
        <v>178</v>
      </c>
      <c r="U144" s="24"/>
      <c r="V144" s="5" t="s">
        <v>705</v>
      </c>
    </row>
    <row r="145" spans="1:22" ht="28.8" x14ac:dyDescent="0.3">
      <c r="A145" s="5">
        <v>144</v>
      </c>
      <c r="B145" s="5" t="s">
        <v>83</v>
      </c>
      <c r="C145" s="5">
        <v>95132</v>
      </c>
      <c r="D145" s="5" t="str">
        <f>"589-22-066"</f>
        <v>589-22-066</v>
      </c>
      <c r="E145" s="5"/>
      <c r="F145" s="5" t="s">
        <v>5</v>
      </c>
      <c r="G145" s="22" t="s">
        <v>508</v>
      </c>
      <c r="H145" s="22">
        <v>0</v>
      </c>
      <c r="I145" s="5">
        <v>0</v>
      </c>
      <c r="J145" s="23">
        <v>0.53149604168659403</v>
      </c>
      <c r="K145" s="22" t="s">
        <v>576</v>
      </c>
      <c r="L145" s="5" t="s">
        <v>480</v>
      </c>
      <c r="M145" s="5" t="s">
        <v>482</v>
      </c>
      <c r="N145" s="5" t="s">
        <v>481</v>
      </c>
      <c r="O145" s="5" t="s">
        <v>483</v>
      </c>
      <c r="P145" s="5">
        <v>34</v>
      </c>
      <c r="Q145" s="5">
        <v>0</v>
      </c>
      <c r="R145" s="5">
        <v>0</v>
      </c>
      <c r="S145" s="5" t="s">
        <v>7</v>
      </c>
      <c r="T145" s="5">
        <v>34</v>
      </c>
      <c r="U145" s="24" t="s">
        <v>607</v>
      </c>
      <c r="V145" s="5" t="s">
        <v>638</v>
      </c>
    </row>
    <row r="146" spans="1:22" x14ac:dyDescent="0.3">
      <c r="A146" s="5">
        <v>145</v>
      </c>
      <c r="B146" s="5" t="s">
        <v>156</v>
      </c>
      <c r="C146" s="5">
        <v>95117</v>
      </c>
      <c r="D146" s="5" t="str">
        <f>"303-29-003"</f>
        <v>303-29-003</v>
      </c>
      <c r="E146" s="5" t="s">
        <v>485</v>
      </c>
      <c r="F146" s="5" t="s">
        <v>29</v>
      </c>
      <c r="G146" s="22" t="s">
        <v>37</v>
      </c>
      <c r="H146" s="22">
        <v>0</v>
      </c>
      <c r="I146" s="5">
        <v>75</v>
      </c>
      <c r="J146" s="23">
        <v>1.5042414241834601</v>
      </c>
      <c r="K146" s="22" t="s">
        <v>576</v>
      </c>
      <c r="L146" s="5" t="s">
        <v>480</v>
      </c>
      <c r="M146" s="5" t="s">
        <v>482</v>
      </c>
      <c r="N146" s="5" t="s">
        <v>481</v>
      </c>
      <c r="O146" s="5" t="s">
        <v>483</v>
      </c>
      <c r="P146" s="5">
        <v>107</v>
      </c>
      <c r="Q146" s="5"/>
      <c r="R146" s="5">
        <v>0</v>
      </c>
      <c r="S146" s="5" t="s">
        <v>7</v>
      </c>
      <c r="T146" s="5">
        <v>107</v>
      </c>
      <c r="U146" s="24"/>
      <c r="V146" s="5" t="s">
        <v>689</v>
      </c>
    </row>
    <row r="147" spans="1:22" ht="28.8" x14ac:dyDescent="0.3">
      <c r="A147" s="5">
        <v>146</v>
      </c>
      <c r="B147" s="5" t="s">
        <v>71</v>
      </c>
      <c r="C147" s="5">
        <v>95008</v>
      </c>
      <c r="D147" s="5" t="str">
        <f>"412-25-008"</f>
        <v>412-25-008</v>
      </c>
      <c r="E147" s="5"/>
      <c r="F147" s="5" t="s">
        <v>5</v>
      </c>
      <c r="G147" s="22" t="s">
        <v>508</v>
      </c>
      <c r="H147" s="22">
        <v>0</v>
      </c>
      <c r="I147" s="5">
        <v>0</v>
      </c>
      <c r="J147" s="23">
        <v>0.65851980460086301</v>
      </c>
      <c r="K147" s="22" t="s">
        <v>576</v>
      </c>
      <c r="L147" s="5" t="s">
        <v>480</v>
      </c>
      <c r="M147" s="5" t="s">
        <v>482</v>
      </c>
      <c r="N147" s="5" t="s">
        <v>481</v>
      </c>
      <c r="O147" s="5" t="s">
        <v>483</v>
      </c>
      <c r="P147" s="5">
        <v>42</v>
      </c>
      <c r="Q147" s="5">
        <v>0</v>
      </c>
      <c r="R147" s="5">
        <v>0</v>
      </c>
      <c r="S147" s="5" t="s">
        <v>7</v>
      </c>
      <c r="T147" s="5">
        <v>42</v>
      </c>
      <c r="U147" s="24" t="s">
        <v>607</v>
      </c>
      <c r="V147" s="5" t="s">
        <v>628</v>
      </c>
    </row>
    <row r="148" spans="1:22" ht="28.8" x14ac:dyDescent="0.3">
      <c r="A148" s="5">
        <v>147</v>
      </c>
      <c r="B148" s="5" t="s">
        <v>186</v>
      </c>
      <c r="C148" s="5">
        <v>95125</v>
      </c>
      <c r="D148" s="5" t="str">
        <f>"284-17-021"</f>
        <v>284-17-021</v>
      </c>
      <c r="E148" s="5" t="s">
        <v>518</v>
      </c>
      <c r="F148" s="5" t="s">
        <v>5</v>
      </c>
      <c r="G148" s="22" t="s">
        <v>508</v>
      </c>
      <c r="H148" s="22">
        <v>0</v>
      </c>
      <c r="I148" s="5">
        <v>0</v>
      </c>
      <c r="J148" s="23">
        <v>0.84871859298238705</v>
      </c>
      <c r="K148" s="22" t="s">
        <v>576</v>
      </c>
      <c r="L148" s="5" t="s">
        <v>480</v>
      </c>
      <c r="M148" s="5" t="s">
        <v>482</v>
      </c>
      <c r="N148" s="5" t="s">
        <v>481</v>
      </c>
      <c r="O148" s="5" t="s">
        <v>483</v>
      </c>
      <c r="P148" s="5">
        <v>60</v>
      </c>
      <c r="Q148" s="5">
        <v>0</v>
      </c>
      <c r="R148" s="5">
        <v>0</v>
      </c>
      <c r="S148" s="5" t="s">
        <v>7</v>
      </c>
      <c r="T148" s="5">
        <v>60</v>
      </c>
      <c r="U148" s="24" t="s">
        <v>607</v>
      </c>
      <c r="V148" s="5" t="s">
        <v>642</v>
      </c>
    </row>
    <row r="149" spans="1:22" ht="28.8" x14ac:dyDescent="0.3">
      <c r="A149" s="5">
        <v>148</v>
      </c>
      <c r="B149" s="5" t="s">
        <v>184</v>
      </c>
      <c r="C149" s="5">
        <v>95129</v>
      </c>
      <c r="D149" s="5" t="str">
        <f>"386-11-050"</f>
        <v>386-11-050</v>
      </c>
      <c r="E149" s="5" t="s">
        <v>517</v>
      </c>
      <c r="F149" s="5" t="s">
        <v>5</v>
      </c>
      <c r="G149" s="22" t="s">
        <v>508</v>
      </c>
      <c r="H149" s="22">
        <v>0</v>
      </c>
      <c r="I149" s="5">
        <v>0</v>
      </c>
      <c r="J149" s="23">
        <v>0.71160449235585499</v>
      </c>
      <c r="K149" s="22" t="s">
        <v>576</v>
      </c>
      <c r="L149" s="5" t="s">
        <v>480</v>
      </c>
      <c r="M149" s="5" t="s">
        <v>482</v>
      </c>
      <c r="N149" s="5" t="s">
        <v>481</v>
      </c>
      <c r="O149" s="5" t="s">
        <v>483</v>
      </c>
      <c r="P149" s="5">
        <v>48</v>
      </c>
      <c r="Q149" s="5">
        <v>0</v>
      </c>
      <c r="R149" s="5">
        <v>0</v>
      </c>
      <c r="S149" s="5" t="s">
        <v>7</v>
      </c>
      <c r="T149" s="5">
        <v>48</v>
      </c>
      <c r="U149" s="24" t="s">
        <v>607</v>
      </c>
      <c r="V149" s="5" t="s">
        <v>709</v>
      </c>
    </row>
    <row r="150" spans="1:22" ht="28.8" x14ac:dyDescent="0.3">
      <c r="A150" s="5">
        <v>149</v>
      </c>
      <c r="B150" s="5" t="s">
        <v>74</v>
      </c>
      <c r="C150" s="5">
        <v>95008</v>
      </c>
      <c r="D150" s="5" t="str">
        <f>"414-03-014"</f>
        <v>414-03-014</v>
      </c>
      <c r="E150" s="5" t="s">
        <v>495</v>
      </c>
      <c r="F150" s="5" t="s">
        <v>5</v>
      </c>
      <c r="G150" s="22" t="s">
        <v>508</v>
      </c>
      <c r="H150" s="22">
        <v>0</v>
      </c>
      <c r="I150" s="5">
        <v>0</v>
      </c>
      <c r="J150" s="23">
        <v>0.73351218775808602</v>
      </c>
      <c r="K150" s="22" t="s">
        <v>579</v>
      </c>
      <c r="L150" s="5" t="s">
        <v>480</v>
      </c>
      <c r="M150" s="5" t="s">
        <v>482</v>
      </c>
      <c r="N150" s="5" t="s">
        <v>481</v>
      </c>
      <c r="O150" s="5" t="s">
        <v>483</v>
      </c>
      <c r="P150" s="5">
        <v>49</v>
      </c>
      <c r="Q150" s="5">
        <v>0</v>
      </c>
      <c r="R150" s="5">
        <v>0</v>
      </c>
      <c r="S150" s="5" t="s">
        <v>7</v>
      </c>
      <c r="T150" s="5">
        <v>49</v>
      </c>
      <c r="U150" s="24" t="s">
        <v>607</v>
      </c>
      <c r="V150" s="5" t="s">
        <v>631</v>
      </c>
    </row>
    <row r="151" spans="1:22" ht="28.8" x14ac:dyDescent="0.3">
      <c r="A151" s="5">
        <v>150</v>
      </c>
      <c r="B151" s="5" t="s">
        <v>209</v>
      </c>
      <c r="C151" s="5">
        <v>95126</v>
      </c>
      <c r="D151" s="5" t="str">
        <f>"230-20-027"</f>
        <v>230-20-027</v>
      </c>
      <c r="E151" s="5"/>
      <c r="F151" s="5" t="s">
        <v>5</v>
      </c>
      <c r="G151" s="5" t="s">
        <v>516</v>
      </c>
      <c r="H151" s="22">
        <v>0</v>
      </c>
      <c r="I151" s="5">
        <v>0</v>
      </c>
      <c r="J151" s="23">
        <v>2.1866111454780301</v>
      </c>
      <c r="K151" s="22" t="s">
        <v>576</v>
      </c>
      <c r="L151" s="5" t="s">
        <v>480</v>
      </c>
      <c r="M151" s="5" t="s">
        <v>482</v>
      </c>
      <c r="N151" s="5" t="s">
        <v>481</v>
      </c>
      <c r="O151" s="5" t="s">
        <v>483</v>
      </c>
      <c r="P151" s="5">
        <v>178</v>
      </c>
      <c r="Q151" s="5"/>
      <c r="R151" s="5">
        <v>0</v>
      </c>
      <c r="S151" s="5" t="s">
        <v>7</v>
      </c>
      <c r="T151" s="5">
        <v>178</v>
      </c>
      <c r="U151" s="24" t="s">
        <v>607</v>
      </c>
      <c r="V151" s="5" t="s">
        <v>832</v>
      </c>
    </row>
    <row r="152" spans="1:22" ht="28.8" x14ac:dyDescent="0.3">
      <c r="A152" s="5">
        <v>151</v>
      </c>
      <c r="B152" s="5" t="s">
        <v>183</v>
      </c>
      <c r="C152" s="5">
        <v>95129</v>
      </c>
      <c r="D152" s="5" t="str">
        <f>"381-31-046"</f>
        <v>381-31-046</v>
      </c>
      <c r="E152" s="5"/>
      <c r="F152" s="5" t="s">
        <v>5</v>
      </c>
      <c r="G152" s="22" t="s">
        <v>508</v>
      </c>
      <c r="H152" s="22">
        <v>0</v>
      </c>
      <c r="I152" s="5">
        <v>0</v>
      </c>
      <c r="J152" s="23">
        <v>0.57633026605134896</v>
      </c>
      <c r="K152" s="22" t="s">
        <v>576</v>
      </c>
      <c r="L152" s="5" t="s">
        <v>480</v>
      </c>
      <c r="M152" s="5" t="s">
        <v>482</v>
      </c>
      <c r="N152" s="5" t="s">
        <v>481</v>
      </c>
      <c r="O152" s="5" t="s">
        <v>483</v>
      </c>
      <c r="P152" s="5">
        <v>37</v>
      </c>
      <c r="Q152" s="5">
        <v>0</v>
      </c>
      <c r="R152" s="5">
        <v>0</v>
      </c>
      <c r="S152" s="5" t="s">
        <v>7</v>
      </c>
      <c r="T152" s="5">
        <v>37</v>
      </c>
      <c r="U152" s="24" t="s">
        <v>607</v>
      </c>
      <c r="V152" s="5" t="s">
        <v>708</v>
      </c>
    </row>
    <row r="153" spans="1:22" x14ac:dyDescent="0.3">
      <c r="A153" s="5">
        <v>152</v>
      </c>
      <c r="B153" s="5" t="s">
        <v>386</v>
      </c>
      <c r="C153" s="5">
        <v>95112</v>
      </c>
      <c r="D153" s="5" t="str">
        <f>"477-29-056"</f>
        <v>477-29-056</v>
      </c>
      <c r="E153" s="5"/>
      <c r="F153" s="5" t="s">
        <v>50</v>
      </c>
      <c r="G153" s="22" t="s">
        <v>96</v>
      </c>
      <c r="H153" s="22">
        <v>30</v>
      </c>
      <c r="I153" s="5">
        <v>95</v>
      </c>
      <c r="J153" s="23">
        <v>0.51428010810645897</v>
      </c>
      <c r="K153" s="22" t="s">
        <v>576</v>
      </c>
      <c r="L153" s="5" t="s">
        <v>480</v>
      </c>
      <c r="M153" s="5" t="s">
        <v>482</v>
      </c>
      <c r="N153" s="5" t="s">
        <v>481</v>
      </c>
      <c r="O153" s="5" t="s">
        <v>483</v>
      </c>
      <c r="P153" s="5">
        <v>0</v>
      </c>
      <c r="Q153" s="5">
        <v>23</v>
      </c>
      <c r="R153" s="5">
        <v>0</v>
      </c>
      <c r="S153" s="5" t="s">
        <v>21</v>
      </c>
      <c r="T153" s="5">
        <v>23</v>
      </c>
      <c r="U153" s="24" t="s">
        <v>595</v>
      </c>
      <c r="V153" s="5" t="s">
        <v>610</v>
      </c>
    </row>
    <row r="154" spans="1:22" x14ac:dyDescent="0.3">
      <c r="A154" s="5">
        <v>153</v>
      </c>
      <c r="B154" s="5" t="s">
        <v>291</v>
      </c>
      <c r="C154" s="5">
        <v>95126</v>
      </c>
      <c r="D154" s="5" t="str">
        <f>"261-32-072"</f>
        <v>261-32-072</v>
      </c>
      <c r="E154" s="5"/>
      <c r="F154" s="5" t="s">
        <v>9</v>
      </c>
      <c r="G154" s="22" t="s">
        <v>18</v>
      </c>
      <c r="H154" s="22">
        <v>55</v>
      </c>
      <c r="I154" s="5">
        <v>250</v>
      </c>
      <c r="J154" s="23">
        <v>0.64824112788502397</v>
      </c>
      <c r="K154" s="22" t="s">
        <v>576</v>
      </c>
      <c r="L154" s="5" t="s">
        <v>480</v>
      </c>
      <c r="M154" s="5" t="s">
        <v>482</v>
      </c>
      <c r="N154" s="5" t="s">
        <v>481</v>
      </c>
      <c r="O154" s="5" t="s">
        <v>847</v>
      </c>
      <c r="P154" s="5">
        <v>73</v>
      </c>
      <c r="Q154" s="5">
        <v>0</v>
      </c>
      <c r="R154" s="5">
        <v>0</v>
      </c>
      <c r="S154" s="5" t="s">
        <v>7</v>
      </c>
      <c r="T154" s="5">
        <v>73</v>
      </c>
      <c r="U154" s="24"/>
      <c r="V154" s="5" t="s">
        <v>743</v>
      </c>
    </row>
    <row r="155" spans="1:22" x14ac:dyDescent="0.3">
      <c r="A155" s="5">
        <v>154</v>
      </c>
      <c r="B155" s="5" t="s">
        <v>330</v>
      </c>
      <c r="C155" s="5">
        <v>95117</v>
      </c>
      <c r="D155" s="5" t="str">
        <f>"303-26-061"</f>
        <v>303-26-061</v>
      </c>
      <c r="E155" s="5" t="s">
        <v>512</v>
      </c>
      <c r="F155" s="5" t="s">
        <v>9</v>
      </c>
      <c r="G155" s="22" t="s">
        <v>18</v>
      </c>
      <c r="H155" s="22">
        <v>65</v>
      </c>
      <c r="I155" s="5">
        <v>250</v>
      </c>
      <c r="J155" s="23">
        <v>1.77540564795227</v>
      </c>
      <c r="K155" s="22" t="s">
        <v>576</v>
      </c>
      <c r="L155" s="5" t="s">
        <v>480</v>
      </c>
      <c r="M155" s="5" t="s">
        <v>482</v>
      </c>
      <c r="N155" s="5" t="s">
        <v>481</v>
      </c>
      <c r="O155" s="5" t="s">
        <v>483</v>
      </c>
      <c r="P155" s="5">
        <v>219</v>
      </c>
      <c r="Q155" s="5">
        <v>0</v>
      </c>
      <c r="R155" s="5">
        <v>0</v>
      </c>
      <c r="S155" s="5" t="s">
        <v>7</v>
      </c>
      <c r="T155" s="5">
        <v>219</v>
      </c>
      <c r="U155" s="24"/>
      <c r="V155" s="5" t="s">
        <v>771</v>
      </c>
    </row>
    <row r="156" spans="1:22" x14ac:dyDescent="0.3">
      <c r="A156" s="5">
        <v>155</v>
      </c>
      <c r="B156" s="5" t="s">
        <v>112</v>
      </c>
      <c r="C156" s="5">
        <v>95128</v>
      </c>
      <c r="D156" s="5" t="str">
        <f>"282-28-004"</f>
        <v>282-28-004</v>
      </c>
      <c r="E156" s="5" t="s">
        <v>503</v>
      </c>
      <c r="F156" s="5" t="s">
        <v>9</v>
      </c>
      <c r="G156" s="22" t="s">
        <v>18</v>
      </c>
      <c r="H156" s="22">
        <v>0</v>
      </c>
      <c r="I156" s="5">
        <v>150</v>
      </c>
      <c r="J156" s="23">
        <v>0.96972269534200595</v>
      </c>
      <c r="K156" s="22" t="s">
        <v>576</v>
      </c>
      <c r="L156" s="5" t="s">
        <v>480</v>
      </c>
      <c r="M156" s="5" t="s">
        <v>482</v>
      </c>
      <c r="N156" s="5" t="s">
        <v>481</v>
      </c>
      <c r="O156" s="5" t="s">
        <v>483</v>
      </c>
      <c r="P156" s="5">
        <v>0</v>
      </c>
      <c r="Q156" s="5">
        <v>65</v>
      </c>
      <c r="R156" s="5">
        <v>0</v>
      </c>
      <c r="S156" s="5" t="s">
        <v>21</v>
      </c>
      <c r="T156" s="5">
        <v>65</v>
      </c>
      <c r="U156" s="24"/>
      <c r="V156" s="5" t="s">
        <v>658</v>
      </c>
    </row>
    <row r="157" spans="1:22" x14ac:dyDescent="0.3">
      <c r="A157" s="5">
        <v>156</v>
      </c>
      <c r="B157" s="5" t="s">
        <v>129</v>
      </c>
      <c r="C157" s="5">
        <v>95112</v>
      </c>
      <c r="D157" s="5" t="str">
        <f>"235-05-011"</f>
        <v>235-05-011</v>
      </c>
      <c r="E157" s="5"/>
      <c r="F157" s="5" t="s">
        <v>9</v>
      </c>
      <c r="G157" s="27" t="s">
        <v>565</v>
      </c>
      <c r="H157" s="22">
        <v>0</v>
      </c>
      <c r="I157" s="5">
        <v>250</v>
      </c>
      <c r="J157" s="23">
        <v>1.6766276894760199</v>
      </c>
      <c r="K157" s="22" t="s">
        <v>575</v>
      </c>
      <c r="L157" s="5" t="s">
        <v>480</v>
      </c>
      <c r="M157" s="5" t="s">
        <v>482</v>
      </c>
      <c r="N157" s="5" t="s">
        <v>481</v>
      </c>
      <c r="O157" s="5" t="s">
        <v>847</v>
      </c>
      <c r="P157" s="5">
        <v>207</v>
      </c>
      <c r="Q157" s="5">
        <v>0</v>
      </c>
      <c r="R157" s="5">
        <v>0</v>
      </c>
      <c r="S157" s="5" t="s">
        <v>7</v>
      </c>
      <c r="T157" s="5">
        <v>207</v>
      </c>
      <c r="U157" s="24"/>
      <c r="V157" s="5" t="s">
        <v>837</v>
      </c>
    </row>
    <row r="158" spans="1:22" x14ac:dyDescent="0.3">
      <c r="A158" s="5">
        <v>157</v>
      </c>
      <c r="B158" s="5" t="s">
        <v>305</v>
      </c>
      <c r="C158" s="5">
        <v>95133</v>
      </c>
      <c r="D158" s="5" t="str">
        <f>"245-42-030"</f>
        <v>245-42-030</v>
      </c>
      <c r="E158" s="5" t="s">
        <v>541</v>
      </c>
      <c r="F158" s="5" t="s">
        <v>9</v>
      </c>
      <c r="G158" s="22" t="s">
        <v>18</v>
      </c>
      <c r="H158" s="22">
        <v>55</v>
      </c>
      <c r="I158" s="5">
        <v>125</v>
      </c>
      <c r="J158" s="23">
        <v>0.63372587620007703</v>
      </c>
      <c r="K158" s="22" t="s">
        <v>576</v>
      </c>
      <c r="L158" s="5" t="s">
        <v>480</v>
      </c>
      <c r="M158" s="5" t="s">
        <v>482</v>
      </c>
      <c r="N158" s="5" t="s">
        <v>481</v>
      </c>
      <c r="O158" s="5" t="s">
        <v>483</v>
      </c>
      <c r="P158" s="5">
        <v>53</v>
      </c>
      <c r="Q158" s="5">
        <v>0</v>
      </c>
      <c r="R158" s="5">
        <v>0</v>
      </c>
      <c r="S158" s="5" t="s">
        <v>7</v>
      </c>
      <c r="T158" s="5">
        <v>53</v>
      </c>
      <c r="U158" s="24" t="s">
        <v>595</v>
      </c>
      <c r="V158" s="5" t="s">
        <v>759</v>
      </c>
    </row>
    <row r="159" spans="1:22" x14ac:dyDescent="0.3">
      <c r="A159" s="5">
        <v>158</v>
      </c>
      <c r="B159" s="5" t="s">
        <v>17</v>
      </c>
      <c r="C159" s="5">
        <v>95112</v>
      </c>
      <c r="D159" s="5" t="str">
        <f>"235-02-033"</f>
        <v>235-02-033</v>
      </c>
      <c r="E159" s="5" t="s">
        <v>484</v>
      </c>
      <c r="F159" s="5" t="s">
        <v>9</v>
      </c>
      <c r="G159" s="22" t="s">
        <v>18</v>
      </c>
      <c r="H159" s="22">
        <v>55</v>
      </c>
      <c r="I159" s="5">
        <v>250</v>
      </c>
      <c r="J159" s="23">
        <v>1.4797553837475701</v>
      </c>
      <c r="K159" s="22" t="s">
        <v>575</v>
      </c>
      <c r="L159" s="5" t="s">
        <v>480</v>
      </c>
      <c r="M159" s="5" t="s">
        <v>482</v>
      </c>
      <c r="N159" s="5" t="s">
        <v>481</v>
      </c>
      <c r="O159" s="5" t="s">
        <v>847</v>
      </c>
      <c r="P159" s="5">
        <v>198</v>
      </c>
      <c r="Q159" s="5">
        <v>0</v>
      </c>
      <c r="R159" s="5">
        <v>0</v>
      </c>
      <c r="S159" s="5" t="s">
        <v>7</v>
      </c>
      <c r="T159" s="5">
        <v>198</v>
      </c>
      <c r="U159" s="24" t="s">
        <v>601</v>
      </c>
      <c r="V159" s="5" t="s">
        <v>602</v>
      </c>
    </row>
    <row r="160" spans="1:22" x14ac:dyDescent="0.3">
      <c r="A160" s="5">
        <v>159</v>
      </c>
      <c r="B160" s="5" t="s">
        <v>202</v>
      </c>
      <c r="C160" s="5">
        <v>95118</v>
      </c>
      <c r="D160" s="5" t="str">
        <f>"569-01-099"</f>
        <v>569-01-099</v>
      </c>
      <c r="E160" s="5"/>
      <c r="F160" s="5" t="s">
        <v>5</v>
      </c>
      <c r="G160" s="22" t="s">
        <v>500</v>
      </c>
      <c r="H160" s="22">
        <v>0</v>
      </c>
      <c r="I160" s="5">
        <v>0</v>
      </c>
      <c r="J160" s="23">
        <v>1.3571068584391099</v>
      </c>
      <c r="K160" s="22" t="s">
        <v>579</v>
      </c>
      <c r="L160" s="5" t="s">
        <v>480</v>
      </c>
      <c r="M160" s="5" t="s">
        <v>482</v>
      </c>
      <c r="N160" s="5" t="s">
        <v>481</v>
      </c>
      <c r="O160" s="5" t="s">
        <v>483</v>
      </c>
      <c r="P160" s="5">
        <v>112</v>
      </c>
      <c r="Q160" s="5">
        <v>0</v>
      </c>
      <c r="R160" s="5">
        <v>0</v>
      </c>
      <c r="S160" s="5" t="s">
        <v>7</v>
      </c>
      <c r="T160" s="5">
        <v>112</v>
      </c>
      <c r="U160" s="24" t="s">
        <v>595</v>
      </c>
      <c r="V160" s="5" t="s">
        <v>631</v>
      </c>
    </row>
    <row r="161" spans="1:22" ht="28.8" x14ac:dyDescent="0.3">
      <c r="A161" s="5">
        <v>160</v>
      </c>
      <c r="B161" s="5" t="s">
        <v>199</v>
      </c>
      <c r="C161" s="5">
        <v>95123</v>
      </c>
      <c r="D161" s="5" t="str">
        <f>"464-14-016"</f>
        <v>464-14-016</v>
      </c>
      <c r="E161" s="5" t="s">
        <v>522</v>
      </c>
      <c r="F161" s="5" t="s">
        <v>5</v>
      </c>
      <c r="G161" s="22" t="s">
        <v>508</v>
      </c>
      <c r="H161" s="22">
        <v>0</v>
      </c>
      <c r="I161" s="5">
        <v>0</v>
      </c>
      <c r="J161" s="23">
        <v>0.51832640695271903</v>
      </c>
      <c r="K161" s="22" t="s">
        <v>576</v>
      </c>
      <c r="L161" s="5" t="s">
        <v>480</v>
      </c>
      <c r="M161" s="5" t="s">
        <v>482</v>
      </c>
      <c r="N161" s="5" t="s">
        <v>481</v>
      </c>
      <c r="O161" s="5" t="s">
        <v>483</v>
      </c>
      <c r="P161" s="5">
        <v>35</v>
      </c>
      <c r="Q161" s="5">
        <v>0</v>
      </c>
      <c r="R161" s="5">
        <v>0</v>
      </c>
      <c r="S161" s="5" t="s">
        <v>7</v>
      </c>
      <c r="T161" s="5">
        <v>35</v>
      </c>
      <c r="U161" s="24" t="s">
        <v>607</v>
      </c>
      <c r="V161" s="5" t="s">
        <v>716</v>
      </c>
    </row>
    <row r="162" spans="1:22" x14ac:dyDescent="0.3">
      <c r="A162" s="5">
        <v>161</v>
      </c>
      <c r="B162" s="5" t="s">
        <v>113</v>
      </c>
      <c r="C162" s="5">
        <v>95128</v>
      </c>
      <c r="D162" s="5" t="str">
        <f>"282-28-005"</f>
        <v>282-28-005</v>
      </c>
      <c r="E162" s="5" t="s">
        <v>503</v>
      </c>
      <c r="F162" s="5" t="s">
        <v>9</v>
      </c>
      <c r="G162" s="22" t="s">
        <v>18</v>
      </c>
      <c r="H162" s="22">
        <v>0</v>
      </c>
      <c r="I162" s="5">
        <v>150</v>
      </c>
      <c r="J162" s="23">
        <v>0.96607729056952296</v>
      </c>
      <c r="K162" s="22" t="s">
        <v>576</v>
      </c>
      <c r="L162" s="5" t="s">
        <v>480</v>
      </c>
      <c r="M162" s="5" t="s">
        <v>482</v>
      </c>
      <c r="N162" s="5" t="s">
        <v>481</v>
      </c>
      <c r="O162" s="5" t="s">
        <v>483</v>
      </c>
      <c r="P162" s="5">
        <v>0</v>
      </c>
      <c r="Q162" s="5">
        <v>67</v>
      </c>
      <c r="R162" s="5">
        <v>0</v>
      </c>
      <c r="S162" s="5" t="s">
        <v>21</v>
      </c>
      <c r="T162" s="5">
        <v>67</v>
      </c>
      <c r="U162" s="24"/>
      <c r="V162" s="5" t="s">
        <v>659</v>
      </c>
    </row>
    <row r="163" spans="1:22" x14ac:dyDescent="0.3">
      <c r="A163" s="5">
        <v>162</v>
      </c>
      <c r="B163" s="5" t="s">
        <v>23</v>
      </c>
      <c r="C163" s="5">
        <v>95112</v>
      </c>
      <c r="D163" s="5" t="str">
        <f>"235-02-035"</f>
        <v>235-02-035</v>
      </c>
      <c r="E163" s="5" t="s">
        <v>484</v>
      </c>
      <c r="F163" s="5" t="s">
        <v>9</v>
      </c>
      <c r="G163" s="22" t="s">
        <v>18</v>
      </c>
      <c r="H163" s="22">
        <v>55</v>
      </c>
      <c r="I163" s="5">
        <v>250</v>
      </c>
      <c r="J163" s="23">
        <v>0.52857531455247397</v>
      </c>
      <c r="K163" s="22" t="s">
        <v>576</v>
      </c>
      <c r="L163" s="5" t="s">
        <v>480</v>
      </c>
      <c r="M163" s="5" t="s">
        <v>482</v>
      </c>
      <c r="N163" s="5" t="s">
        <v>481</v>
      </c>
      <c r="O163" s="5" t="s">
        <v>847</v>
      </c>
      <c r="P163" s="5">
        <v>66</v>
      </c>
      <c r="Q163" s="5">
        <v>0</v>
      </c>
      <c r="R163" s="5">
        <v>0</v>
      </c>
      <c r="S163" s="5" t="s">
        <v>7</v>
      </c>
      <c r="T163" s="5">
        <v>66</v>
      </c>
      <c r="U163" s="24" t="s">
        <v>601</v>
      </c>
      <c r="V163" s="5" t="s">
        <v>605</v>
      </c>
    </row>
    <row r="164" spans="1:22" x14ac:dyDescent="0.3">
      <c r="A164" s="5">
        <v>163</v>
      </c>
      <c r="B164" s="5" t="s">
        <v>158</v>
      </c>
      <c r="C164" s="5">
        <v>95117</v>
      </c>
      <c r="D164" s="5" t="str">
        <f>"303-33-069"</f>
        <v>303-33-069</v>
      </c>
      <c r="E164" s="5"/>
      <c r="F164" s="5" t="s">
        <v>29</v>
      </c>
      <c r="G164" s="22" t="s">
        <v>37</v>
      </c>
      <c r="H164" s="22">
        <v>0</v>
      </c>
      <c r="I164" s="5">
        <v>75</v>
      </c>
      <c r="J164" s="23">
        <v>0.84918715105902098</v>
      </c>
      <c r="K164" s="22" t="s">
        <v>576</v>
      </c>
      <c r="L164" s="5" t="s">
        <v>480</v>
      </c>
      <c r="M164" s="5" t="s">
        <v>482</v>
      </c>
      <c r="N164" s="5" t="s">
        <v>481</v>
      </c>
      <c r="O164" s="5" t="s">
        <v>483</v>
      </c>
      <c r="P164" s="5">
        <v>54</v>
      </c>
      <c r="Q164" s="5">
        <v>0</v>
      </c>
      <c r="R164" s="5">
        <v>0</v>
      </c>
      <c r="S164" s="5" t="s">
        <v>7</v>
      </c>
      <c r="T164" s="5">
        <v>54</v>
      </c>
      <c r="U164" s="24"/>
      <c r="V164" s="5" t="s">
        <v>691</v>
      </c>
    </row>
    <row r="165" spans="1:22" x14ac:dyDescent="0.3">
      <c r="A165" s="5">
        <v>164</v>
      </c>
      <c r="B165" s="5" t="s">
        <v>220</v>
      </c>
      <c r="C165" s="5">
        <v>95118</v>
      </c>
      <c r="D165" s="5" t="str">
        <f>"569-45-063"</f>
        <v>569-45-063</v>
      </c>
      <c r="E165" s="5"/>
      <c r="F165" s="5" t="s">
        <v>5</v>
      </c>
      <c r="G165" s="22" t="s">
        <v>508</v>
      </c>
      <c r="H165" s="22">
        <v>0</v>
      </c>
      <c r="I165" s="5">
        <v>0</v>
      </c>
      <c r="J165" s="23">
        <v>0.81873937481650805</v>
      </c>
      <c r="K165" s="22" t="s">
        <v>576</v>
      </c>
      <c r="L165" s="5" t="s">
        <v>480</v>
      </c>
      <c r="M165" s="5" t="s">
        <v>482</v>
      </c>
      <c r="N165" s="5" t="s">
        <v>481</v>
      </c>
      <c r="O165" s="5" t="s">
        <v>483</v>
      </c>
      <c r="P165" s="5">
        <v>64</v>
      </c>
      <c r="Q165" s="5">
        <v>0</v>
      </c>
      <c r="R165" s="5">
        <v>0</v>
      </c>
      <c r="S165" s="5" t="s">
        <v>7</v>
      </c>
      <c r="T165" s="5">
        <v>64</v>
      </c>
      <c r="U165" s="24" t="s">
        <v>595</v>
      </c>
      <c r="V165" s="5" t="s">
        <v>708</v>
      </c>
    </row>
    <row r="166" spans="1:22" x14ac:dyDescent="0.3">
      <c r="A166" s="5">
        <v>165</v>
      </c>
      <c r="B166" s="5" t="s">
        <v>134</v>
      </c>
      <c r="C166" s="5">
        <v>95129</v>
      </c>
      <c r="D166" s="5" t="str">
        <f>"296-27-068"</f>
        <v>296-27-068</v>
      </c>
      <c r="E166" s="5" t="s">
        <v>489</v>
      </c>
      <c r="F166" s="5" t="s">
        <v>29</v>
      </c>
      <c r="G166" s="22" t="s">
        <v>37</v>
      </c>
      <c r="H166" s="22">
        <v>0</v>
      </c>
      <c r="I166" s="5">
        <v>50</v>
      </c>
      <c r="J166" s="23">
        <v>0.60139496419878202</v>
      </c>
      <c r="K166" s="22" t="s">
        <v>576</v>
      </c>
      <c r="L166" s="5" t="s">
        <v>480</v>
      </c>
      <c r="M166" s="5" t="s">
        <v>482</v>
      </c>
      <c r="N166" s="5" t="s">
        <v>481</v>
      </c>
      <c r="O166" s="5" t="s">
        <v>483</v>
      </c>
      <c r="P166" s="5">
        <v>30</v>
      </c>
      <c r="Q166" s="5"/>
      <c r="R166" s="5">
        <v>0</v>
      </c>
      <c r="S166" s="5" t="s">
        <v>7</v>
      </c>
      <c r="T166" s="5">
        <v>30</v>
      </c>
      <c r="U166" s="24"/>
      <c r="V166" s="5" t="s">
        <v>675</v>
      </c>
    </row>
    <row r="167" spans="1:22" x14ac:dyDescent="0.3">
      <c r="A167" s="5">
        <v>166</v>
      </c>
      <c r="B167" s="5" t="s">
        <v>162</v>
      </c>
      <c r="C167" s="5">
        <v>95117</v>
      </c>
      <c r="D167" s="5" t="str">
        <f>"303-41-016"</f>
        <v>303-41-016</v>
      </c>
      <c r="E167" s="5"/>
      <c r="F167" s="5" t="s">
        <v>29</v>
      </c>
      <c r="G167" s="22" t="s">
        <v>37</v>
      </c>
      <c r="H167" s="22">
        <v>0</v>
      </c>
      <c r="I167" s="5">
        <v>75</v>
      </c>
      <c r="J167" s="23">
        <v>0.75207391119991096</v>
      </c>
      <c r="K167" s="22" t="s">
        <v>576</v>
      </c>
      <c r="L167" s="5" t="s">
        <v>480</v>
      </c>
      <c r="M167" s="5" t="s">
        <v>482</v>
      </c>
      <c r="N167" s="5" t="s">
        <v>481</v>
      </c>
      <c r="O167" s="5" t="s">
        <v>483</v>
      </c>
      <c r="P167" s="5">
        <v>48</v>
      </c>
      <c r="Q167" s="5">
        <v>0</v>
      </c>
      <c r="R167" s="5">
        <v>0</v>
      </c>
      <c r="S167" s="5" t="s">
        <v>7</v>
      </c>
      <c r="T167" s="5">
        <v>48</v>
      </c>
      <c r="U167" s="24"/>
      <c r="V167" s="5" t="s">
        <v>695</v>
      </c>
    </row>
    <row r="168" spans="1:22" ht="28.8" x14ac:dyDescent="0.3">
      <c r="A168" s="5">
        <v>167</v>
      </c>
      <c r="B168" s="5" t="s">
        <v>127</v>
      </c>
      <c r="C168" s="5">
        <v>95126</v>
      </c>
      <c r="D168" s="5" t="str">
        <f>"284-32-010"</f>
        <v>284-32-010</v>
      </c>
      <c r="E168" s="5"/>
      <c r="F168" s="5" t="s">
        <v>5</v>
      </c>
      <c r="G168" s="22" t="s">
        <v>508</v>
      </c>
      <c r="H168" s="22">
        <v>0</v>
      </c>
      <c r="I168" s="5">
        <v>0</v>
      </c>
      <c r="J168" s="23">
        <v>0.787050240734117</v>
      </c>
      <c r="K168" s="22" t="s">
        <v>576</v>
      </c>
      <c r="L168" s="5" t="s">
        <v>480</v>
      </c>
      <c r="M168" s="5" t="s">
        <v>482</v>
      </c>
      <c r="N168" s="5" t="s">
        <v>481</v>
      </c>
      <c r="O168" s="5" t="s">
        <v>483</v>
      </c>
      <c r="P168" s="5">
        <v>50</v>
      </c>
      <c r="Q168" s="5">
        <v>0</v>
      </c>
      <c r="R168" s="5">
        <v>0</v>
      </c>
      <c r="S168" s="5" t="s">
        <v>7</v>
      </c>
      <c r="T168" s="5">
        <v>50</v>
      </c>
      <c r="U168" s="24" t="s">
        <v>607</v>
      </c>
      <c r="V168" s="5" t="s">
        <v>669</v>
      </c>
    </row>
    <row r="169" spans="1:22" x14ac:dyDescent="0.3">
      <c r="A169" s="5">
        <v>168</v>
      </c>
      <c r="B169" s="5" t="s">
        <v>319</v>
      </c>
      <c r="C169" s="5">
        <v>95126</v>
      </c>
      <c r="D169" s="5" t="str">
        <f>"264-15-033"</f>
        <v>264-15-033</v>
      </c>
      <c r="E169" s="5"/>
      <c r="F169" s="5" t="s">
        <v>50</v>
      </c>
      <c r="G169" s="22" t="s">
        <v>96</v>
      </c>
      <c r="H169" s="22">
        <v>30</v>
      </c>
      <c r="I169" s="5">
        <v>95</v>
      </c>
      <c r="J169" s="23">
        <v>0.73879249926517498</v>
      </c>
      <c r="K169" s="22" t="s">
        <v>580</v>
      </c>
      <c r="L169" s="5" t="s">
        <v>480</v>
      </c>
      <c r="M169" s="5" t="s">
        <v>482</v>
      </c>
      <c r="N169" s="5" t="s">
        <v>481</v>
      </c>
      <c r="O169" s="5" t="s">
        <v>483</v>
      </c>
      <c r="P169" s="5">
        <v>47</v>
      </c>
      <c r="Q169" s="5">
        <v>0</v>
      </c>
      <c r="R169" s="5">
        <v>0</v>
      </c>
      <c r="S169" s="5" t="s">
        <v>7</v>
      </c>
      <c r="T169" s="5">
        <v>47</v>
      </c>
      <c r="U169" s="24"/>
      <c r="V169" s="5" t="s">
        <v>764</v>
      </c>
    </row>
    <row r="170" spans="1:22" x14ac:dyDescent="0.3">
      <c r="A170" s="5">
        <v>169</v>
      </c>
      <c r="B170" s="5" t="s">
        <v>92</v>
      </c>
      <c r="C170" s="5">
        <v>95128</v>
      </c>
      <c r="D170" s="5" t="str">
        <f>"279-17-044"</f>
        <v>279-17-044</v>
      </c>
      <c r="E170" s="5"/>
      <c r="F170" s="5" t="s">
        <v>29</v>
      </c>
      <c r="G170" s="22" t="s">
        <v>37</v>
      </c>
      <c r="H170" s="22">
        <v>0</v>
      </c>
      <c r="I170" s="5">
        <v>75</v>
      </c>
      <c r="J170" s="23">
        <v>1.0412276302938099</v>
      </c>
      <c r="K170" s="22" t="s">
        <v>576</v>
      </c>
      <c r="L170" s="5" t="s">
        <v>480</v>
      </c>
      <c r="M170" s="5" t="s">
        <v>482</v>
      </c>
      <c r="N170" s="5" t="s">
        <v>481</v>
      </c>
      <c r="O170" s="5" t="s">
        <v>483</v>
      </c>
      <c r="P170" s="5">
        <v>70</v>
      </c>
      <c r="Q170" s="5">
        <v>0</v>
      </c>
      <c r="R170" s="5">
        <v>0</v>
      </c>
      <c r="S170" s="5" t="s">
        <v>7</v>
      </c>
      <c r="T170" s="5">
        <v>70</v>
      </c>
      <c r="U170" s="24"/>
      <c r="V170" s="5" t="s">
        <v>643</v>
      </c>
    </row>
    <row r="171" spans="1:22" ht="28.8" x14ac:dyDescent="0.3">
      <c r="A171" s="5">
        <v>170</v>
      </c>
      <c r="B171" s="5" t="s">
        <v>30</v>
      </c>
      <c r="C171" s="5">
        <v>95129</v>
      </c>
      <c r="D171" s="5" t="str">
        <f>"381-17-149"</f>
        <v>381-17-149</v>
      </c>
      <c r="E171" s="5"/>
      <c r="F171" s="5" t="s">
        <v>5</v>
      </c>
      <c r="G171" s="22" t="s">
        <v>508</v>
      </c>
      <c r="H171" s="22">
        <v>0</v>
      </c>
      <c r="I171" s="5">
        <v>0</v>
      </c>
      <c r="J171" s="23">
        <v>2.15333448445555</v>
      </c>
      <c r="K171" s="22" t="s">
        <v>576</v>
      </c>
      <c r="L171" s="5" t="s">
        <v>480</v>
      </c>
      <c r="M171" s="5" t="s">
        <v>482</v>
      </c>
      <c r="N171" s="5" t="s">
        <v>481</v>
      </c>
      <c r="O171" s="5" t="s">
        <v>483</v>
      </c>
      <c r="P171" s="5">
        <v>153</v>
      </c>
      <c r="Q171" s="5">
        <v>0</v>
      </c>
      <c r="R171" s="5">
        <v>0</v>
      </c>
      <c r="S171" s="5" t="s">
        <v>7</v>
      </c>
      <c r="T171" s="5">
        <v>153</v>
      </c>
      <c r="U171" s="24" t="s">
        <v>607</v>
      </c>
      <c r="V171" s="5" t="s">
        <v>608</v>
      </c>
    </row>
    <row r="172" spans="1:22" ht="28.8" x14ac:dyDescent="0.3">
      <c r="A172" s="5">
        <v>171</v>
      </c>
      <c r="B172" s="5" t="s">
        <v>218</v>
      </c>
      <c r="C172" s="5">
        <v>95127</v>
      </c>
      <c r="D172" s="5" t="str">
        <f>"599-39-095"</f>
        <v>599-39-095</v>
      </c>
      <c r="E172" s="5"/>
      <c r="F172" s="5" t="s">
        <v>5</v>
      </c>
      <c r="G172" s="22" t="s">
        <v>500</v>
      </c>
      <c r="H172" s="22">
        <v>0</v>
      </c>
      <c r="I172" s="5">
        <v>0</v>
      </c>
      <c r="J172" s="23">
        <v>0.50294047646319195</v>
      </c>
      <c r="K172" s="22" t="s">
        <v>580</v>
      </c>
      <c r="L172" s="5" t="s">
        <v>480</v>
      </c>
      <c r="M172" s="5" t="s">
        <v>482</v>
      </c>
      <c r="N172" s="5" t="s">
        <v>481</v>
      </c>
      <c r="O172" s="5" t="s">
        <v>483</v>
      </c>
      <c r="P172" s="5">
        <v>32</v>
      </c>
      <c r="Q172" s="5">
        <v>0</v>
      </c>
      <c r="R172" s="5">
        <v>0</v>
      </c>
      <c r="S172" s="5" t="s">
        <v>7</v>
      </c>
      <c r="T172" s="5">
        <v>32</v>
      </c>
      <c r="U172" s="24" t="s">
        <v>607</v>
      </c>
      <c r="V172" s="5" t="s">
        <v>725</v>
      </c>
    </row>
    <row r="173" spans="1:22" x14ac:dyDescent="0.3">
      <c r="A173" s="5">
        <v>172</v>
      </c>
      <c r="B173" s="5" t="s">
        <v>244</v>
      </c>
      <c r="C173" s="5">
        <v>95110</v>
      </c>
      <c r="D173" s="5" t="str">
        <f>"259-29-103"</f>
        <v>259-29-103</v>
      </c>
      <c r="E173" s="5" t="s">
        <v>529</v>
      </c>
      <c r="F173" s="5" t="s">
        <v>20</v>
      </c>
      <c r="G173" s="22" t="s">
        <v>584</v>
      </c>
      <c r="H173" s="22">
        <v>0</v>
      </c>
      <c r="I173" s="5">
        <v>800</v>
      </c>
      <c r="J173" s="23">
        <v>0.34758720618320899</v>
      </c>
      <c r="K173" s="22" t="s">
        <v>580</v>
      </c>
      <c r="L173" s="5" t="s">
        <v>480</v>
      </c>
      <c r="M173" s="5" t="s">
        <v>845</v>
      </c>
      <c r="N173" s="5" t="s">
        <v>481</v>
      </c>
      <c r="O173" s="5" t="s">
        <v>483</v>
      </c>
      <c r="P173" s="5">
        <v>41</v>
      </c>
      <c r="Q173" s="5">
        <v>0</v>
      </c>
      <c r="R173" s="5">
        <v>0</v>
      </c>
      <c r="S173" s="5" t="s">
        <v>7</v>
      </c>
      <c r="T173" s="5">
        <v>41</v>
      </c>
      <c r="U173" s="24"/>
      <c r="V173" s="5" t="s">
        <v>736</v>
      </c>
    </row>
    <row r="174" spans="1:22" ht="28.8" x14ac:dyDescent="0.3">
      <c r="A174" s="5">
        <v>173</v>
      </c>
      <c r="B174" s="5" t="s">
        <v>126</v>
      </c>
      <c r="C174" s="5">
        <v>95125</v>
      </c>
      <c r="D174" s="5" t="str">
        <f>"284-18-003"</f>
        <v>284-18-003</v>
      </c>
      <c r="E174" s="5" t="s">
        <v>506</v>
      </c>
      <c r="F174" s="5" t="s">
        <v>5</v>
      </c>
      <c r="G174" s="22" t="s">
        <v>500</v>
      </c>
      <c r="H174" s="22">
        <v>0</v>
      </c>
      <c r="I174" s="5">
        <v>0</v>
      </c>
      <c r="J174" s="23">
        <v>1.68152459852287</v>
      </c>
      <c r="K174" s="22" t="s">
        <v>576</v>
      </c>
      <c r="L174" s="5" t="s">
        <v>480</v>
      </c>
      <c r="M174" s="5" t="s">
        <v>482</v>
      </c>
      <c r="N174" s="5" t="s">
        <v>481</v>
      </c>
      <c r="O174" s="5" t="s">
        <v>483</v>
      </c>
      <c r="P174" s="5">
        <v>119</v>
      </c>
      <c r="Q174" s="5">
        <v>0</v>
      </c>
      <c r="R174" s="5">
        <v>0</v>
      </c>
      <c r="S174" s="5" t="s">
        <v>7</v>
      </c>
      <c r="T174" s="5">
        <v>119</v>
      </c>
      <c r="U174" s="24" t="s">
        <v>607</v>
      </c>
      <c r="V174" s="5" t="s">
        <v>668</v>
      </c>
    </row>
    <row r="175" spans="1:22" x14ac:dyDescent="0.3">
      <c r="A175" s="5">
        <v>174</v>
      </c>
      <c r="B175" s="5" t="s">
        <v>117</v>
      </c>
      <c r="C175" s="5">
        <v>95128</v>
      </c>
      <c r="D175" s="5" t="str">
        <f>"282-29-007"</f>
        <v>282-29-007</v>
      </c>
      <c r="E175" s="5" t="s">
        <v>504</v>
      </c>
      <c r="F175" s="5" t="s">
        <v>9</v>
      </c>
      <c r="G175" s="22" t="s">
        <v>18</v>
      </c>
      <c r="H175" s="22">
        <v>0</v>
      </c>
      <c r="I175" s="5">
        <v>150</v>
      </c>
      <c r="J175" s="23">
        <v>0.83008408396143896</v>
      </c>
      <c r="K175" s="22" t="s">
        <v>576</v>
      </c>
      <c r="L175" s="5" t="s">
        <v>480</v>
      </c>
      <c r="M175" s="5" t="s">
        <v>482</v>
      </c>
      <c r="N175" s="5" t="s">
        <v>481</v>
      </c>
      <c r="O175" s="5" t="s">
        <v>483</v>
      </c>
      <c r="P175" s="5">
        <v>75</v>
      </c>
      <c r="Q175" s="5"/>
      <c r="R175" s="5">
        <v>0</v>
      </c>
      <c r="S175" s="5" t="s">
        <v>7</v>
      </c>
      <c r="T175" s="5">
        <v>75</v>
      </c>
      <c r="U175" s="24"/>
      <c r="V175" s="5" t="s">
        <v>662</v>
      </c>
    </row>
    <row r="176" spans="1:22" ht="28.8" x14ac:dyDescent="0.3">
      <c r="A176" s="5">
        <v>175</v>
      </c>
      <c r="B176" s="5" t="s">
        <v>73</v>
      </c>
      <c r="C176" s="5">
        <v>95008</v>
      </c>
      <c r="D176" s="5" t="str">
        <f>"412-26-001"</f>
        <v>412-26-001</v>
      </c>
      <c r="E176" s="5" t="s">
        <v>494</v>
      </c>
      <c r="F176" s="5" t="s">
        <v>5</v>
      </c>
      <c r="G176" s="22" t="s">
        <v>508</v>
      </c>
      <c r="H176" s="22">
        <v>0</v>
      </c>
      <c r="I176" s="5">
        <v>0</v>
      </c>
      <c r="J176" s="23">
        <v>0.52410698526467203</v>
      </c>
      <c r="K176" s="22" t="s">
        <v>576</v>
      </c>
      <c r="L176" s="5" t="s">
        <v>480</v>
      </c>
      <c r="M176" s="5" t="s">
        <v>482</v>
      </c>
      <c r="N176" s="5" t="s">
        <v>481</v>
      </c>
      <c r="O176" s="5" t="s">
        <v>483</v>
      </c>
      <c r="P176" s="5">
        <v>35</v>
      </c>
      <c r="Q176" s="5">
        <v>0</v>
      </c>
      <c r="R176" s="5">
        <v>0</v>
      </c>
      <c r="S176" s="5" t="s">
        <v>7</v>
      </c>
      <c r="T176" s="5">
        <v>35</v>
      </c>
      <c r="U176" s="24" t="s">
        <v>607</v>
      </c>
      <c r="V176" s="5" t="s">
        <v>630</v>
      </c>
    </row>
    <row r="177" spans="1:22" x14ac:dyDescent="0.3">
      <c r="A177" s="5">
        <v>176</v>
      </c>
      <c r="B177" s="5" t="s">
        <v>78</v>
      </c>
      <c r="C177" s="5">
        <v>95116</v>
      </c>
      <c r="D177" s="5" t="str">
        <f>"484-41-164"</f>
        <v>484-41-164</v>
      </c>
      <c r="E177" s="5"/>
      <c r="F177" s="5" t="s">
        <v>5</v>
      </c>
      <c r="G177" s="22" t="s">
        <v>508</v>
      </c>
      <c r="H177" s="22">
        <v>0</v>
      </c>
      <c r="I177" s="5">
        <v>0</v>
      </c>
      <c r="J177" s="23">
        <v>0.612463718015403</v>
      </c>
      <c r="K177" s="22" t="s">
        <v>582</v>
      </c>
      <c r="L177" s="5" t="s">
        <v>480</v>
      </c>
      <c r="M177" s="5" t="s">
        <v>482</v>
      </c>
      <c r="N177" s="5" t="s">
        <v>481</v>
      </c>
      <c r="O177" s="5" t="s">
        <v>483</v>
      </c>
      <c r="P177" s="5">
        <v>57</v>
      </c>
      <c r="Q177" s="5">
        <v>0</v>
      </c>
      <c r="R177" s="5">
        <v>0</v>
      </c>
      <c r="S177" s="5" t="s">
        <v>7</v>
      </c>
      <c r="T177" s="5">
        <v>57</v>
      </c>
      <c r="U177" s="24"/>
      <c r="V177" s="5" t="s">
        <v>775</v>
      </c>
    </row>
    <row r="178" spans="1:22" x14ac:dyDescent="0.3">
      <c r="A178" s="5">
        <v>177</v>
      </c>
      <c r="B178" s="5" t="s">
        <v>90</v>
      </c>
      <c r="C178" s="5">
        <v>95132</v>
      </c>
      <c r="D178" s="5" t="str">
        <f>"591-14-025"</f>
        <v>591-14-025</v>
      </c>
      <c r="E178" s="5"/>
      <c r="F178" s="5" t="s">
        <v>5</v>
      </c>
      <c r="G178" s="22" t="s">
        <v>508</v>
      </c>
      <c r="H178" s="22">
        <v>0</v>
      </c>
      <c r="I178" s="5">
        <v>0</v>
      </c>
      <c r="J178" s="23">
        <v>0.57658197911329201</v>
      </c>
      <c r="K178" s="22" t="s">
        <v>576</v>
      </c>
      <c r="L178" s="5" t="s">
        <v>480</v>
      </c>
      <c r="M178" s="5" t="s">
        <v>482</v>
      </c>
      <c r="N178" s="5" t="s">
        <v>481</v>
      </c>
      <c r="O178" s="5" t="s">
        <v>483</v>
      </c>
      <c r="P178" s="5">
        <v>53</v>
      </c>
      <c r="Q178" s="5">
        <v>0</v>
      </c>
      <c r="R178" s="5">
        <v>0</v>
      </c>
      <c r="S178" s="5" t="s">
        <v>7</v>
      </c>
      <c r="T178" s="5">
        <v>53</v>
      </c>
      <c r="U178" s="24" t="s">
        <v>595</v>
      </c>
      <c r="V178" s="5" t="s">
        <v>621</v>
      </c>
    </row>
    <row r="179" spans="1:22" ht="28.8" x14ac:dyDescent="0.3">
      <c r="A179" s="5">
        <v>178</v>
      </c>
      <c r="B179" s="5" t="s">
        <v>88</v>
      </c>
      <c r="C179" s="5">
        <v>95132</v>
      </c>
      <c r="D179" s="5" t="str">
        <f>"591-01-039"</f>
        <v>591-01-039</v>
      </c>
      <c r="E179" s="5"/>
      <c r="F179" s="5" t="s">
        <v>5</v>
      </c>
      <c r="G179" s="22" t="s">
        <v>508</v>
      </c>
      <c r="H179" s="22">
        <v>0</v>
      </c>
      <c r="I179" s="5">
        <v>0</v>
      </c>
      <c r="J179" s="23">
        <v>1.22302672659815</v>
      </c>
      <c r="K179" s="22" t="s">
        <v>576</v>
      </c>
      <c r="L179" s="5" t="s">
        <v>480</v>
      </c>
      <c r="M179" s="5" t="s">
        <v>482</v>
      </c>
      <c r="N179" s="5" t="s">
        <v>481</v>
      </c>
      <c r="O179" s="5" t="s">
        <v>483</v>
      </c>
      <c r="P179" s="5">
        <v>82</v>
      </c>
      <c r="Q179" s="5">
        <v>0</v>
      </c>
      <c r="R179" s="5">
        <v>0</v>
      </c>
      <c r="S179" s="5" t="s">
        <v>7</v>
      </c>
      <c r="T179" s="5">
        <v>82</v>
      </c>
      <c r="U179" s="24" t="s">
        <v>607</v>
      </c>
      <c r="V179" s="5" t="s">
        <v>641</v>
      </c>
    </row>
    <row r="180" spans="1:22" x14ac:dyDescent="0.3">
      <c r="A180" s="5">
        <v>179</v>
      </c>
      <c r="B180" s="5" t="s">
        <v>62</v>
      </c>
      <c r="C180" s="5">
        <v>95127</v>
      </c>
      <c r="D180" s="5" t="str">
        <f>"484-26-081"</f>
        <v>484-26-081</v>
      </c>
      <c r="E180" s="5"/>
      <c r="F180" s="5" t="s">
        <v>5</v>
      </c>
      <c r="G180" s="22" t="s">
        <v>508</v>
      </c>
      <c r="H180" s="22">
        <v>0</v>
      </c>
      <c r="I180" s="5">
        <v>0</v>
      </c>
      <c r="J180" s="23">
        <v>1.2589403606399501</v>
      </c>
      <c r="K180" s="22" t="s">
        <v>579</v>
      </c>
      <c r="L180" s="5" t="s">
        <v>480</v>
      </c>
      <c r="M180" s="5" t="s">
        <v>482</v>
      </c>
      <c r="N180" s="5" t="s">
        <v>481</v>
      </c>
      <c r="O180" s="5" t="s">
        <v>483</v>
      </c>
      <c r="P180" s="5">
        <v>104</v>
      </c>
      <c r="Q180" s="5">
        <v>0</v>
      </c>
      <c r="R180" s="5">
        <v>0</v>
      </c>
      <c r="S180" s="5" t="s">
        <v>7</v>
      </c>
      <c r="T180" s="5">
        <v>104</v>
      </c>
      <c r="U180" s="24" t="s">
        <v>595</v>
      </c>
      <c r="V180" s="5" t="s">
        <v>610</v>
      </c>
    </row>
    <row r="181" spans="1:22" ht="28.8" x14ac:dyDescent="0.3">
      <c r="A181" s="5">
        <v>180</v>
      </c>
      <c r="B181" s="5" t="s">
        <v>76</v>
      </c>
      <c r="C181" s="5">
        <v>95008</v>
      </c>
      <c r="D181" s="5" t="str">
        <f>"414-05-001"</f>
        <v>414-05-001</v>
      </c>
      <c r="E181" s="5"/>
      <c r="F181" s="5" t="s">
        <v>5</v>
      </c>
      <c r="G181" s="22" t="s">
        <v>508</v>
      </c>
      <c r="H181" s="22">
        <v>0</v>
      </c>
      <c r="I181" s="5">
        <v>0</v>
      </c>
      <c r="J181" s="23">
        <v>0.55317204294641398</v>
      </c>
      <c r="K181" s="22" t="s">
        <v>576</v>
      </c>
      <c r="L181" s="5" t="s">
        <v>480</v>
      </c>
      <c r="M181" s="5" t="s">
        <v>482</v>
      </c>
      <c r="N181" s="5" t="s">
        <v>481</v>
      </c>
      <c r="O181" s="5" t="s">
        <v>483</v>
      </c>
      <c r="P181" s="5">
        <v>35</v>
      </c>
      <c r="Q181" s="5">
        <v>0</v>
      </c>
      <c r="R181" s="5">
        <v>0</v>
      </c>
      <c r="S181" s="5" t="s">
        <v>7</v>
      </c>
      <c r="T181" s="5">
        <v>35</v>
      </c>
      <c r="U181" s="24" t="s">
        <v>607</v>
      </c>
      <c r="V181" s="5" t="s">
        <v>632</v>
      </c>
    </row>
    <row r="182" spans="1:22" ht="28.8" x14ac:dyDescent="0.3">
      <c r="A182" s="5">
        <v>181</v>
      </c>
      <c r="B182" s="5" t="s">
        <v>432</v>
      </c>
      <c r="C182" s="5">
        <v>95118</v>
      </c>
      <c r="D182" s="5" t="str">
        <f>"439-42-097"</f>
        <v>439-42-097</v>
      </c>
      <c r="E182" s="5"/>
      <c r="F182" s="5" t="s">
        <v>5</v>
      </c>
      <c r="G182" s="22" t="s">
        <v>508</v>
      </c>
      <c r="H182" s="22">
        <v>0</v>
      </c>
      <c r="I182" s="5">
        <v>0</v>
      </c>
      <c r="J182" s="23">
        <v>1.2280654860895399</v>
      </c>
      <c r="K182" s="22" t="s">
        <v>576</v>
      </c>
      <c r="L182" s="5" t="s">
        <v>480</v>
      </c>
      <c r="M182" s="5" t="s">
        <v>482</v>
      </c>
      <c r="N182" s="5" t="s">
        <v>481</v>
      </c>
      <c r="O182" s="5" t="s">
        <v>483</v>
      </c>
      <c r="P182" s="5">
        <v>100</v>
      </c>
      <c r="Q182" s="5">
        <v>0</v>
      </c>
      <c r="R182" s="5">
        <v>0</v>
      </c>
      <c r="S182" s="5" t="s">
        <v>7</v>
      </c>
      <c r="T182" s="5">
        <v>100</v>
      </c>
      <c r="U182" s="24" t="s">
        <v>607</v>
      </c>
      <c r="V182" s="5" t="s">
        <v>804</v>
      </c>
    </row>
    <row r="183" spans="1:22" x14ac:dyDescent="0.3">
      <c r="A183" s="5">
        <v>182</v>
      </c>
      <c r="B183" s="5" t="s">
        <v>245</v>
      </c>
      <c r="C183" s="5">
        <v>95110</v>
      </c>
      <c r="D183" s="5" t="str">
        <f>"259-29-012"</f>
        <v>259-29-012</v>
      </c>
      <c r="E183" s="5" t="s">
        <v>529</v>
      </c>
      <c r="F183" s="5" t="s">
        <v>20</v>
      </c>
      <c r="G183" s="22" t="s">
        <v>584</v>
      </c>
      <c r="H183" s="22">
        <v>0</v>
      </c>
      <c r="I183" s="5">
        <v>800</v>
      </c>
      <c r="J183" s="23">
        <v>0.136516899202451</v>
      </c>
      <c r="K183" s="22" t="s">
        <v>580</v>
      </c>
      <c r="L183" s="5" t="s">
        <v>480</v>
      </c>
      <c r="M183" s="5" t="s">
        <v>845</v>
      </c>
      <c r="N183" s="5" t="s">
        <v>481</v>
      </c>
      <c r="O183" s="5" t="s">
        <v>483</v>
      </c>
      <c r="P183" s="5">
        <v>16</v>
      </c>
      <c r="Q183" s="5">
        <v>0</v>
      </c>
      <c r="R183" s="5">
        <v>0</v>
      </c>
      <c r="S183" s="5" t="s">
        <v>7</v>
      </c>
      <c r="T183" s="5">
        <v>16</v>
      </c>
      <c r="U183" s="24"/>
      <c r="V183" s="5" t="s">
        <v>737</v>
      </c>
    </row>
    <row r="184" spans="1:22" ht="28.8" x14ac:dyDescent="0.3">
      <c r="A184" s="5">
        <v>183</v>
      </c>
      <c r="B184" s="5" t="s">
        <v>195</v>
      </c>
      <c r="C184" s="5">
        <v>95123</v>
      </c>
      <c r="D184" s="5" t="str">
        <f>"464-27-027"</f>
        <v>464-27-027</v>
      </c>
      <c r="E184" s="5"/>
      <c r="F184" s="5" t="s">
        <v>5</v>
      </c>
      <c r="G184" s="22" t="s">
        <v>508</v>
      </c>
      <c r="H184" s="22">
        <v>0</v>
      </c>
      <c r="I184" s="5">
        <v>0</v>
      </c>
      <c r="J184" s="23">
        <v>1.77293508385771</v>
      </c>
      <c r="K184" s="22" t="s">
        <v>576</v>
      </c>
      <c r="L184" s="5" t="s">
        <v>480</v>
      </c>
      <c r="M184" s="5" t="s">
        <v>482</v>
      </c>
      <c r="N184" s="5" t="s">
        <v>481</v>
      </c>
      <c r="O184" s="5" t="s">
        <v>483</v>
      </c>
      <c r="P184" s="5">
        <v>126</v>
      </c>
      <c r="Q184" s="5">
        <v>0</v>
      </c>
      <c r="R184" s="5">
        <v>0</v>
      </c>
      <c r="S184" s="5" t="s">
        <v>7</v>
      </c>
      <c r="T184" s="5">
        <v>126</v>
      </c>
      <c r="U184" s="24" t="s">
        <v>607</v>
      </c>
      <c r="V184" s="5" t="s">
        <v>714</v>
      </c>
    </row>
    <row r="185" spans="1:22" ht="28.8" x14ac:dyDescent="0.3">
      <c r="A185" s="5">
        <v>184</v>
      </c>
      <c r="B185" s="5" t="s">
        <v>177</v>
      </c>
      <c r="C185" s="5">
        <v>95129</v>
      </c>
      <c r="D185" s="5" t="str">
        <f>"372-26-018"</f>
        <v>372-26-018</v>
      </c>
      <c r="E185" s="5" t="s">
        <v>516</v>
      </c>
      <c r="F185" s="5" t="s">
        <v>5</v>
      </c>
      <c r="G185" s="22" t="s">
        <v>508</v>
      </c>
      <c r="H185" s="22">
        <v>0</v>
      </c>
      <c r="I185" s="5">
        <v>0</v>
      </c>
      <c r="J185" s="23">
        <v>0.72035846792617297</v>
      </c>
      <c r="K185" s="22" t="s">
        <v>576</v>
      </c>
      <c r="L185" s="5" t="s">
        <v>480</v>
      </c>
      <c r="M185" s="5" t="s">
        <v>482</v>
      </c>
      <c r="N185" s="5" t="s">
        <v>481</v>
      </c>
      <c r="O185" s="5" t="s">
        <v>483</v>
      </c>
      <c r="P185" s="5">
        <v>51</v>
      </c>
      <c r="Q185" s="5">
        <v>0</v>
      </c>
      <c r="R185" s="5">
        <v>0</v>
      </c>
      <c r="S185" s="5" t="s">
        <v>7</v>
      </c>
      <c r="T185" s="5">
        <v>51</v>
      </c>
      <c r="U185" s="24" t="s">
        <v>607</v>
      </c>
      <c r="V185" s="5" t="s">
        <v>605</v>
      </c>
    </row>
    <row r="186" spans="1:22" ht="28.8" x14ac:dyDescent="0.3">
      <c r="A186" s="5">
        <v>185</v>
      </c>
      <c r="B186" s="5" t="s">
        <v>174</v>
      </c>
      <c r="C186" s="5">
        <v>95129</v>
      </c>
      <c r="D186" s="5" t="str">
        <f>"372-25-021"</f>
        <v>372-25-021</v>
      </c>
      <c r="E186" s="5" t="s">
        <v>515</v>
      </c>
      <c r="F186" s="5" t="s">
        <v>5</v>
      </c>
      <c r="G186" s="22" t="s">
        <v>508</v>
      </c>
      <c r="H186" s="22">
        <v>0</v>
      </c>
      <c r="I186" s="5">
        <v>0</v>
      </c>
      <c r="J186" s="23">
        <v>1.0937979098089099</v>
      </c>
      <c r="K186" s="22" t="s">
        <v>576</v>
      </c>
      <c r="L186" s="5" t="s">
        <v>480</v>
      </c>
      <c r="M186" s="5" t="s">
        <v>482</v>
      </c>
      <c r="N186" s="5" t="s">
        <v>481</v>
      </c>
      <c r="O186" s="5" t="s">
        <v>483</v>
      </c>
      <c r="P186" s="5">
        <v>78</v>
      </c>
      <c r="Q186" s="5">
        <v>0</v>
      </c>
      <c r="R186" s="5">
        <v>0</v>
      </c>
      <c r="S186" s="5" t="s">
        <v>7</v>
      </c>
      <c r="T186" s="5">
        <v>78</v>
      </c>
      <c r="U186" s="24" t="s">
        <v>607</v>
      </c>
      <c r="V186" s="5" t="s">
        <v>703</v>
      </c>
    </row>
    <row r="187" spans="1:22" x14ac:dyDescent="0.3">
      <c r="A187" s="5">
        <v>186</v>
      </c>
      <c r="B187" s="5" t="s">
        <v>311</v>
      </c>
      <c r="C187" s="5">
        <v>95125</v>
      </c>
      <c r="D187" s="5" t="str">
        <f>"456-10-021"</f>
        <v>456-10-021</v>
      </c>
      <c r="E187" s="5"/>
      <c r="F187" s="5" t="s">
        <v>50</v>
      </c>
      <c r="G187" s="22" t="s">
        <v>96</v>
      </c>
      <c r="H187" s="22">
        <v>30</v>
      </c>
      <c r="I187" s="5">
        <v>95</v>
      </c>
      <c r="J187" s="23">
        <v>0.59059120532287301</v>
      </c>
      <c r="K187" s="22" t="s">
        <v>580</v>
      </c>
      <c r="L187" s="5" t="s">
        <v>480</v>
      </c>
      <c r="M187" s="5" t="s">
        <v>482</v>
      </c>
      <c r="N187" s="5" t="s">
        <v>481</v>
      </c>
      <c r="O187" s="5" t="s">
        <v>483</v>
      </c>
      <c r="P187" s="5">
        <v>0</v>
      </c>
      <c r="Q187" s="5">
        <v>26</v>
      </c>
      <c r="R187" s="5">
        <v>0</v>
      </c>
      <c r="S187" s="5" t="s">
        <v>21</v>
      </c>
      <c r="T187" s="5">
        <v>26</v>
      </c>
      <c r="U187" s="24"/>
      <c r="V187" s="5" t="s">
        <v>762</v>
      </c>
    </row>
    <row r="188" spans="1:22" x14ac:dyDescent="0.3">
      <c r="A188" s="5">
        <v>187</v>
      </c>
      <c r="B188" s="5" t="s">
        <v>4</v>
      </c>
      <c r="C188" s="5">
        <v>95120</v>
      </c>
      <c r="D188" s="5" t="str">
        <f>"577-09-056"</f>
        <v>577-09-056</v>
      </c>
      <c r="E188" s="5"/>
      <c r="F188" s="5" t="s">
        <v>5</v>
      </c>
      <c r="G188" s="22" t="s">
        <v>508</v>
      </c>
      <c r="H188" s="22">
        <v>0</v>
      </c>
      <c r="I188" s="5">
        <v>0</v>
      </c>
      <c r="J188" s="23">
        <v>0.54602935981693401</v>
      </c>
      <c r="K188" s="22" t="s">
        <v>581</v>
      </c>
      <c r="L188" s="5" t="s">
        <v>480</v>
      </c>
      <c r="M188" s="5" t="s">
        <v>482</v>
      </c>
      <c r="N188" s="5" t="s">
        <v>481</v>
      </c>
      <c r="O188" s="5" t="s">
        <v>483</v>
      </c>
      <c r="P188" s="5">
        <v>51</v>
      </c>
      <c r="Q188" s="5">
        <v>0</v>
      </c>
      <c r="R188" s="5">
        <v>0</v>
      </c>
      <c r="S188" s="5" t="s">
        <v>7</v>
      </c>
      <c r="T188" s="5">
        <v>51</v>
      </c>
      <c r="U188" s="24" t="s">
        <v>595</v>
      </c>
      <c r="V188" s="5" t="s">
        <v>596</v>
      </c>
    </row>
    <row r="189" spans="1:22" ht="28.8" x14ac:dyDescent="0.3">
      <c r="A189" s="5">
        <v>188</v>
      </c>
      <c r="B189" s="5" t="s">
        <v>81</v>
      </c>
      <c r="C189" s="5">
        <v>95124</v>
      </c>
      <c r="D189" s="5" t="str">
        <f>"414-26-019"</f>
        <v>414-26-019</v>
      </c>
      <c r="E189" s="5" t="s">
        <v>497</v>
      </c>
      <c r="F189" s="5" t="s">
        <v>5</v>
      </c>
      <c r="G189" s="22" t="s">
        <v>508</v>
      </c>
      <c r="H189" s="22">
        <v>0</v>
      </c>
      <c r="I189" s="5">
        <v>0</v>
      </c>
      <c r="J189" s="23">
        <v>0.76672535589522095</v>
      </c>
      <c r="K189" s="22" t="s">
        <v>576</v>
      </c>
      <c r="L189" s="5" t="s">
        <v>480</v>
      </c>
      <c r="M189" s="5" t="s">
        <v>482</v>
      </c>
      <c r="N189" s="5" t="s">
        <v>481</v>
      </c>
      <c r="O189" s="5" t="s">
        <v>483</v>
      </c>
      <c r="P189" s="5">
        <v>54</v>
      </c>
      <c r="Q189" s="5">
        <v>0</v>
      </c>
      <c r="R189" s="5">
        <v>0</v>
      </c>
      <c r="S189" s="5" t="s">
        <v>7</v>
      </c>
      <c r="T189" s="5">
        <v>54</v>
      </c>
      <c r="U189" s="24" t="s">
        <v>607</v>
      </c>
      <c r="V189" s="5" t="s">
        <v>636</v>
      </c>
    </row>
    <row r="190" spans="1:22" x14ac:dyDescent="0.3">
      <c r="A190" s="5">
        <v>189</v>
      </c>
      <c r="B190" s="5" t="s">
        <v>192</v>
      </c>
      <c r="C190" s="5">
        <v>95118</v>
      </c>
      <c r="D190" s="5" t="str">
        <f>"451-32-089"</f>
        <v>451-32-089</v>
      </c>
      <c r="E190" s="5"/>
      <c r="F190" s="5" t="s">
        <v>5</v>
      </c>
      <c r="G190" s="22" t="s">
        <v>508</v>
      </c>
      <c r="H190" s="22">
        <v>0</v>
      </c>
      <c r="I190" s="5">
        <v>0</v>
      </c>
      <c r="J190" s="23">
        <v>0.72507359709833996</v>
      </c>
      <c r="K190" s="22" t="s">
        <v>576</v>
      </c>
      <c r="L190" s="5" t="s">
        <v>480</v>
      </c>
      <c r="M190" s="5" t="s">
        <v>482</v>
      </c>
      <c r="N190" s="5" t="s">
        <v>481</v>
      </c>
      <c r="O190" s="5" t="s">
        <v>483</v>
      </c>
      <c r="P190" s="5">
        <v>57</v>
      </c>
      <c r="Q190" s="5">
        <v>0</v>
      </c>
      <c r="R190" s="5">
        <v>0</v>
      </c>
      <c r="S190" s="5" t="s">
        <v>7</v>
      </c>
      <c r="T190" s="5">
        <v>57</v>
      </c>
      <c r="U190" s="24" t="s">
        <v>595</v>
      </c>
      <c r="V190" s="5" t="s">
        <v>712</v>
      </c>
    </row>
    <row r="191" spans="1:22" x14ac:dyDescent="0.3">
      <c r="A191" s="5">
        <v>190</v>
      </c>
      <c r="B191" s="5" t="s">
        <v>359</v>
      </c>
      <c r="C191" s="5">
        <v>95112</v>
      </c>
      <c r="D191" s="5" t="str">
        <f>"467-14-087"</f>
        <v>467-14-087</v>
      </c>
      <c r="E191" s="5"/>
      <c r="F191" s="5" t="s">
        <v>29</v>
      </c>
      <c r="G191" s="5" t="s">
        <v>37</v>
      </c>
      <c r="H191" s="22">
        <v>0</v>
      </c>
      <c r="I191" s="5">
        <v>50</v>
      </c>
      <c r="J191" s="23">
        <v>2.78617569585992</v>
      </c>
      <c r="K191" s="22" t="s">
        <v>576</v>
      </c>
      <c r="L191" s="5" t="s">
        <v>480</v>
      </c>
      <c r="M191" s="5" t="s">
        <v>482</v>
      </c>
      <c r="N191" s="5" t="s">
        <v>481</v>
      </c>
      <c r="O191" s="5" t="s">
        <v>483</v>
      </c>
      <c r="P191" s="5">
        <v>139</v>
      </c>
      <c r="Q191" s="5">
        <v>0</v>
      </c>
      <c r="R191" s="5">
        <v>0</v>
      </c>
      <c r="S191" s="5" t="s">
        <v>7</v>
      </c>
      <c r="T191" s="5">
        <v>139</v>
      </c>
      <c r="U191" s="24"/>
      <c r="V191" s="5" t="s">
        <v>832</v>
      </c>
    </row>
    <row r="192" spans="1:22" ht="28.8" x14ac:dyDescent="0.3">
      <c r="A192" s="5">
        <v>191</v>
      </c>
      <c r="B192" s="5" t="s">
        <v>197</v>
      </c>
      <c r="C192" s="5">
        <v>95123</v>
      </c>
      <c r="D192" s="5" t="str">
        <f>"464-14-007"</f>
        <v>464-14-007</v>
      </c>
      <c r="E192" s="5" t="s">
        <v>521</v>
      </c>
      <c r="F192" s="5" t="s">
        <v>5</v>
      </c>
      <c r="G192" s="22" t="s">
        <v>508</v>
      </c>
      <c r="H192" s="22">
        <v>0</v>
      </c>
      <c r="I192" s="5">
        <v>0</v>
      </c>
      <c r="J192" s="23">
        <v>0.99238319269947906</v>
      </c>
      <c r="K192" s="22" t="s">
        <v>576</v>
      </c>
      <c r="L192" s="5" t="s">
        <v>480</v>
      </c>
      <c r="M192" s="5" t="s">
        <v>482</v>
      </c>
      <c r="N192" s="5" t="s">
        <v>481</v>
      </c>
      <c r="O192" s="5" t="s">
        <v>483</v>
      </c>
      <c r="P192" s="5">
        <v>70</v>
      </c>
      <c r="Q192" s="5">
        <v>0</v>
      </c>
      <c r="R192" s="5">
        <v>0</v>
      </c>
      <c r="S192" s="5" t="s">
        <v>7</v>
      </c>
      <c r="T192" s="5">
        <v>70</v>
      </c>
      <c r="U192" s="24" t="s">
        <v>607</v>
      </c>
      <c r="V192" s="5" t="s">
        <v>715</v>
      </c>
    </row>
    <row r="193" spans="1:22" ht="28.8" x14ac:dyDescent="0.3">
      <c r="A193" s="5">
        <v>192</v>
      </c>
      <c r="B193" s="5" t="s">
        <v>128</v>
      </c>
      <c r="C193" s="5">
        <v>95126</v>
      </c>
      <c r="D193" s="5" t="str">
        <f>"284-32-011"</f>
        <v>284-32-011</v>
      </c>
      <c r="E193" s="5"/>
      <c r="F193" s="5" t="s">
        <v>5</v>
      </c>
      <c r="G193" s="22" t="s">
        <v>508</v>
      </c>
      <c r="H193" s="22">
        <v>0</v>
      </c>
      <c r="I193" s="5">
        <v>0</v>
      </c>
      <c r="J193" s="23">
        <v>1.35227545342871</v>
      </c>
      <c r="K193" s="22" t="s">
        <v>576</v>
      </c>
      <c r="L193" s="5" t="s">
        <v>480</v>
      </c>
      <c r="M193" s="5" t="s">
        <v>482</v>
      </c>
      <c r="N193" s="5" t="s">
        <v>481</v>
      </c>
      <c r="O193" s="5" t="s">
        <v>483</v>
      </c>
      <c r="P193" s="5">
        <v>91</v>
      </c>
      <c r="Q193" s="5">
        <v>0</v>
      </c>
      <c r="R193" s="5">
        <v>0</v>
      </c>
      <c r="S193" s="5" t="s">
        <v>7</v>
      </c>
      <c r="T193" s="5">
        <v>91</v>
      </c>
      <c r="U193" s="24" t="s">
        <v>607</v>
      </c>
      <c r="V193" s="5" t="s">
        <v>670</v>
      </c>
    </row>
    <row r="194" spans="1:22" ht="28.8" x14ac:dyDescent="0.3">
      <c r="A194" s="5">
        <v>193</v>
      </c>
      <c r="B194" s="5" t="s">
        <v>201</v>
      </c>
      <c r="C194" s="5">
        <v>95123</v>
      </c>
      <c r="D194" s="5" t="str">
        <f>"464-46-072"</f>
        <v>464-46-072</v>
      </c>
      <c r="E194" s="5"/>
      <c r="F194" s="5" t="s">
        <v>5</v>
      </c>
      <c r="G194" s="22" t="s">
        <v>508</v>
      </c>
      <c r="H194" s="22">
        <v>0</v>
      </c>
      <c r="I194" s="5">
        <v>0</v>
      </c>
      <c r="J194" s="23">
        <v>0.51280538137810106</v>
      </c>
      <c r="K194" s="22" t="s">
        <v>576</v>
      </c>
      <c r="L194" s="5" t="s">
        <v>480</v>
      </c>
      <c r="M194" s="5" t="s">
        <v>482</v>
      </c>
      <c r="N194" s="5" t="s">
        <v>481</v>
      </c>
      <c r="O194" s="5" t="s">
        <v>483</v>
      </c>
      <c r="P194" s="5">
        <v>33</v>
      </c>
      <c r="Q194" s="5">
        <v>0</v>
      </c>
      <c r="R194" s="5">
        <v>0</v>
      </c>
      <c r="S194" s="5" t="s">
        <v>7</v>
      </c>
      <c r="T194" s="5">
        <v>33</v>
      </c>
      <c r="U194" s="24" t="s">
        <v>607</v>
      </c>
      <c r="V194" s="5" t="s">
        <v>708</v>
      </c>
    </row>
    <row r="195" spans="1:22" ht="28.8" x14ac:dyDescent="0.3">
      <c r="A195" s="5">
        <v>194</v>
      </c>
      <c r="B195" s="5" t="s">
        <v>308</v>
      </c>
      <c r="C195" s="5">
        <v>95136</v>
      </c>
      <c r="D195" s="5" t="str">
        <f>"459-05-031"</f>
        <v>459-05-031</v>
      </c>
      <c r="E195" s="5" t="s">
        <v>542</v>
      </c>
      <c r="F195" s="5" t="s">
        <v>5</v>
      </c>
      <c r="G195" s="22" t="s">
        <v>508</v>
      </c>
      <c r="H195" s="22">
        <v>0</v>
      </c>
      <c r="I195" s="5">
        <v>0</v>
      </c>
      <c r="J195" s="23">
        <v>1.0623500257957801</v>
      </c>
      <c r="K195" s="22" t="s">
        <v>576</v>
      </c>
      <c r="L195" s="5" t="s">
        <v>480</v>
      </c>
      <c r="M195" s="5" t="s">
        <v>482</v>
      </c>
      <c r="N195" s="5" t="s">
        <v>481</v>
      </c>
      <c r="O195" s="5" t="s">
        <v>483</v>
      </c>
      <c r="P195" s="5">
        <v>75</v>
      </c>
      <c r="Q195" s="5">
        <v>0</v>
      </c>
      <c r="R195" s="5">
        <v>0</v>
      </c>
      <c r="S195" s="5" t="s">
        <v>7</v>
      </c>
      <c r="T195" s="5">
        <v>75</v>
      </c>
      <c r="U195" s="24" t="s">
        <v>607</v>
      </c>
      <c r="V195" s="5" t="s">
        <v>760</v>
      </c>
    </row>
    <row r="196" spans="1:22" ht="28.8" x14ac:dyDescent="0.3">
      <c r="A196" s="5">
        <v>195</v>
      </c>
      <c r="B196" s="5" t="s">
        <v>145</v>
      </c>
      <c r="C196" s="5">
        <v>95129</v>
      </c>
      <c r="D196" s="5" t="str">
        <f>"299-36-063"</f>
        <v>299-36-063</v>
      </c>
      <c r="E196" s="5"/>
      <c r="F196" s="5" t="s">
        <v>5</v>
      </c>
      <c r="G196" s="22" t="s">
        <v>508</v>
      </c>
      <c r="H196" s="22">
        <v>0</v>
      </c>
      <c r="I196" s="5">
        <v>0</v>
      </c>
      <c r="J196" s="23">
        <v>0.86594287021294103</v>
      </c>
      <c r="K196" s="22" t="s">
        <v>576</v>
      </c>
      <c r="L196" s="5" t="s">
        <v>480</v>
      </c>
      <c r="M196" s="5" t="s">
        <v>482</v>
      </c>
      <c r="N196" s="5" t="s">
        <v>481</v>
      </c>
      <c r="O196" s="5" t="s">
        <v>483</v>
      </c>
      <c r="P196" s="5">
        <v>55</v>
      </c>
      <c r="Q196" s="5">
        <v>0</v>
      </c>
      <c r="R196" s="5">
        <v>0</v>
      </c>
      <c r="S196" s="5" t="s">
        <v>7</v>
      </c>
      <c r="T196" s="5">
        <v>55</v>
      </c>
      <c r="U196" s="24" t="s">
        <v>607</v>
      </c>
      <c r="V196" s="5" t="s">
        <v>627</v>
      </c>
    </row>
    <row r="197" spans="1:22" ht="28.8" x14ac:dyDescent="0.3">
      <c r="A197" s="5">
        <v>196</v>
      </c>
      <c r="B197" s="5" t="s">
        <v>150</v>
      </c>
      <c r="C197" s="5">
        <v>95129</v>
      </c>
      <c r="D197" s="5" t="str">
        <f>"303-25-048"</f>
        <v>303-25-048</v>
      </c>
      <c r="E197" s="5"/>
      <c r="F197" s="5" t="s">
        <v>9</v>
      </c>
      <c r="G197" s="22" t="s">
        <v>18</v>
      </c>
      <c r="H197" s="22">
        <v>65</v>
      </c>
      <c r="I197" s="5">
        <v>250</v>
      </c>
      <c r="J197" s="23">
        <v>0.64942073460551797</v>
      </c>
      <c r="K197" s="22" t="s">
        <v>580</v>
      </c>
      <c r="L197" s="5" t="s">
        <v>480</v>
      </c>
      <c r="M197" s="5" t="s">
        <v>482</v>
      </c>
      <c r="N197" s="5" t="s">
        <v>481</v>
      </c>
      <c r="O197" s="5" t="s">
        <v>483</v>
      </c>
      <c r="P197" s="5">
        <v>73</v>
      </c>
      <c r="Q197" s="5">
        <v>0</v>
      </c>
      <c r="R197" s="5">
        <v>0</v>
      </c>
      <c r="S197" s="5" t="s">
        <v>7</v>
      </c>
      <c r="T197" s="5">
        <v>73</v>
      </c>
      <c r="U197" s="24" t="s">
        <v>607</v>
      </c>
      <c r="V197" s="5" t="s">
        <v>685</v>
      </c>
    </row>
    <row r="198" spans="1:22" ht="28.8" x14ac:dyDescent="0.3">
      <c r="A198" s="5">
        <v>197</v>
      </c>
      <c r="B198" s="5" t="s">
        <v>200</v>
      </c>
      <c r="C198" s="5">
        <v>95123</v>
      </c>
      <c r="D198" s="5" t="str">
        <f>"464-14-025"</f>
        <v>464-14-025</v>
      </c>
      <c r="E198" s="5" t="s">
        <v>521</v>
      </c>
      <c r="F198" s="5" t="s">
        <v>5</v>
      </c>
      <c r="G198" s="22" t="s">
        <v>508</v>
      </c>
      <c r="H198" s="22">
        <v>0</v>
      </c>
      <c r="I198" s="5">
        <v>0</v>
      </c>
      <c r="J198" s="23">
        <v>0.65138541803989403</v>
      </c>
      <c r="K198" s="22" t="s">
        <v>576</v>
      </c>
      <c r="L198" s="5" t="s">
        <v>480</v>
      </c>
      <c r="M198" s="5" t="s">
        <v>482</v>
      </c>
      <c r="N198" s="5" t="s">
        <v>481</v>
      </c>
      <c r="O198" s="5" t="s">
        <v>483</v>
      </c>
      <c r="P198" s="5">
        <v>46</v>
      </c>
      <c r="Q198" s="5">
        <v>0</v>
      </c>
      <c r="R198" s="5">
        <v>0</v>
      </c>
      <c r="S198" s="5" t="s">
        <v>7</v>
      </c>
      <c r="T198" s="5">
        <v>46</v>
      </c>
      <c r="U198" s="24" t="s">
        <v>607</v>
      </c>
      <c r="V198" s="5" t="s">
        <v>717</v>
      </c>
    </row>
    <row r="199" spans="1:22" x14ac:dyDescent="0.3">
      <c r="A199" s="5">
        <v>198</v>
      </c>
      <c r="B199" s="5" t="s">
        <v>360</v>
      </c>
      <c r="C199" s="5">
        <v>95112</v>
      </c>
      <c r="D199" s="5" t="str">
        <f>"467-14-052"</f>
        <v>467-14-052</v>
      </c>
      <c r="E199" s="5"/>
      <c r="F199" s="5" t="s">
        <v>29</v>
      </c>
      <c r="G199" s="5" t="s">
        <v>37</v>
      </c>
      <c r="H199" s="22">
        <v>0</v>
      </c>
      <c r="I199" s="5">
        <v>50</v>
      </c>
      <c r="J199" s="23">
        <v>0.28914160565877101</v>
      </c>
      <c r="K199" s="22" t="s">
        <v>582</v>
      </c>
      <c r="L199" s="5" t="s">
        <v>480</v>
      </c>
      <c r="M199" s="5" t="s">
        <v>482</v>
      </c>
      <c r="N199" s="5" t="s">
        <v>481</v>
      </c>
      <c r="O199" s="5" t="s">
        <v>483</v>
      </c>
      <c r="P199" s="5">
        <v>14</v>
      </c>
      <c r="Q199" s="5">
        <v>0</v>
      </c>
      <c r="R199" s="5">
        <v>0</v>
      </c>
      <c r="S199" s="5" t="s">
        <v>7</v>
      </c>
      <c r="T199" s="5">
        <v>14</v>
      </c>
      <c r="U199" s="24"/>
      <c r="V199" s="5" t="s">
        <v>816</v>
      </c>
    </row>
    <row r="200" spans="1:22" ht="28.8" x14ac:dyDescent="0.3">
      <c r="A200" s="5">
        <v>199</v>
      </c>
      <c r="B200" s="5" t="s">
        <v>42</v>
      </c>
      <c r="C200" s="5">
        <v>95124</v>
      </c>
      <c r="D200" s="5" t="str">
        <f>"419-12-050"</f>
        <v>419-12-050</v>
      </c>
      <c r="E200" s="5" t="s">
        <v>490</v>
      </c>
      <c r="F200" s="5" t="s">
        <v>5</v>
      </c>
      <c r="G200" s="22" t="s">
        <v>508</v>
      </c>
      <c r="H200" s="22">
        <v>0</v>
      </c>
      <c r="I200" s="5">
        <v>0</v>
      </c>
      <c r="J200" s="23">
        <v>1.56635898350251</v>
      </c>
      <c r="K200" s="22" t="s">
        <v>576</v>
      </c>
      <c r="L200" s="5" t="s">
        <v>480</v>
      </c>
      <c r="M200" s="5" t="s">
        <v>482</v>
      </c>
      <c r="N200" s="5" t="s">
        <v>481</v>
      </c>
      <c r="O200" s="5" t="s">
        <v>483</v>
      </c>
      <c r="P200" s="5">
        <v>111</v>
      </c>
      <c r="Q200" s="5">
        <v>0</v>
      </c>
      <c r="R200" s="5">
        <v>0</v>
      </c>
      <c r="S200" s="5" t="s">
        <v>7</v>
      </c>
      <c r="T200" s="5">
        <v>111</v>
      </c>
      <c r="U200" s="24" t="s">
        <v>607</v>
      </c>
      <c r="V200" s="5" t="s">
        <v>615</v>
      </c>
    </row>
    <row r="201" spans="1:22" x14ac:dyDescent="0.3">
      <c r="A201" s="5">
        <v>200</v>
      </c>
      <c r="B201" s="5" t="s">
        <v>434</v>
      </c>
      <c r="C201" s="5">
        <v>95125</v>
      </c>
      <c r="D201" s="5" t="str">
        <f>"439-50-061"</f>
        <v>439-50-061</v>
      </c>
      <c r="E201" s="5"/>
      <c r="F201" s="5" t="s">
        <v>5</v>
      </c>
      <c r="G201" s="22" t="s">
        <v>508</v>
      </c>
      <c r="H201" s="22">
        <v>0</v>
      </c>
      <c r="I201" s="5">
        <v>0</v>
      </c>
      <c r="J201" s="23">
        <v>0.76653872746513796</v>
      </c>
      <c r="K201" s="22" t="s">
        <v>576</v>
      </c>
      <c r="L201" s="5" t="s">
        <v>480</v>
      </c>
      <c r="M201" s="5" t="s">
        <v>482</v>
      </c>
      <c r="N201" s="5" t="s">
        <v>481</v>
      </c>
      <c r="O201" s="5" t="s">
        <v>483</v>
      </c>
      <c r="P201" s="5">
        <v>59</v>
      </c>
      <c r="Q201" s="5">
        <v>0</v>
      </c>
      <c r="R201" s="5">
        <v>0</v>
      </c>
      <c r="S201" s="5" t="s">
        <v>7</v>
      </c>
      <c r="T201" s="5">
        <v>59</v>
      </c>
      <c r="U201" s="24" t="s">
        <v>595</v>
      </c>
      <c r="V201" s="5" t="s">
        <v>832</v>
      </c>
    </row>
    <row r="202" spans="1:22" x14ac:dyDescent="0.3">
      <c r="A202" s="5">
        <v>201</v>
      </c>
      <c r="B202" s="5" t="s">
        <v>313</v>
      </c>
      <c r="C202" s="5">
        <v>95125</v>
      </c>
      <c r="D202" s="5" t="str">
        <f>"456-03-003"</f>
        <v>456-03-003</v>
      </c>
      <c r="E202" s="5"/>
      <c r="F202" s="5" t="s">
        <v>50</v>
      </c>
      <c r="G202" s="22" t="s">
        <v>96</v>
      </c>
      <c r="H202" s="22">
        <v>30</v>
      </c>
      <c r="I202" s="5">
        <v>95</v>
      </c>
      <c r="J202" s="23">
        <v>0.59437833298314202</v>
      </c>
      <c r="K202" s="22" t="s">
        <v>580</v>
      </c>
      <c r="L202" s="5" t="s">
        <v>480</v>
      </c>
      <c r="M202" s="5" t="s">
        <v>482</v>
      </c>
      <c r="N202" s="5" t="s">
        <v>481</v>
      </c>
      <c r="O202" s="5" t="s">
        <v>483</v>
      </c>
      <c r="P202" s="5">
        <v>0</v>
      </c>
      <c r="Q202" s="5">
        <v>26</v>
      </c>
      <c r="R202" s="5">
        <v>0</v>
      </c>
      <c r="S202" s="5" t="s">
        <v>21</v>
      </c>
      <c r="T202" s="5">
        <v>26</v>
      </c>
      <c r="U202" s="24"/>
      <c r="V202" s="5" t="s">
        <v>625</v>
      </c>
    </row>
    <row r="203" spans="1:22" x14ac:dyDescent="0.3">
      <c r="A203" s="5">
        <v>202</v>
      </c>
      <c r="B203" s="5" t="s">
        <v>103</v>
      </c>
      <c r="C203" s="5">
        <v>95128</v>
      </c>
      <c r="D203" s="5" t="str">
        <f>"279-27-037"</f>
        <v>279-27-037</v>
      </c>
      <c r="E203" s="5" t="s">
        <v>501</v>
      </c>
      <c r="F203" s="5" t="s">
        <v>50</v>
      </c>
      <c r="G203" s="22" t="s">
        <v>96</v>
      </c>
      <c r="H203" s="22">
        <v>45</v>
      </c>
      <c r="I203" s="5">
        <v>95</v>
      </c>
      <c r="J203" s="23">
        <v>0.585433187211997</v>
      </c>
      <c r="K203" s="22" t="s">
        <v>576</v>
      </c>
      <c r="L203" s="5" t="s">
        <v>480</v>
      </c>
      <c r="M203" s="5" t="s">
        <v>482</v>
      </c>
      <c r="N203" s="5" t="s">
        <v>481</v>
      </c>
      <c r="O203" s="5" t="s">
        <v>483</v>
      </c>
      <c r="P203" s="5">
        <v>39</v>
      </c>
      <c r="Q203" s="5">
        <v>0</v>
      </c>
      <c r="R203" s="5">
        <v>0</v>
      </c>
      <c r="S203" s="5" t="s">
        <v>7</v>
      </c>
      <c r="T203" s="5">
        <v>39</v>
      </c>
      <c r="U203" s="24"/>
      <c r="V203" s="5" t="s">
        <v>651</v>
      </c>
    </row>
    <row r="204" spans="1:22" ht="28.8" x14ac:dyDescent="0.3">
      <c r="A204" s="5">
        <v>203</v>
      </c>
      <c r="B204" s="5" t="s">
        <v>307</v>
      </c>
      <c r="C204" s="5">
        <v>95136</v>
      </c>
      <c r="D204" s="5" t="str">
        <f>"459-05-030"</f>
        <v>459-05-030</v>
      </c>
      <c r="E204" s="5" t="s">
        <v>542</v>
      </c>
      <c r="F204" s="5" t="s">
        <v>5</v>
      </c>
      <c r="G204" s="22" t="s">
        <v>508</v>
      </c>
      <c r="H204" s="22">
        <v>0</v>
      </c>
      <c r="I204" s="5">
        <v>0</v>
      </c>
      <c r="J204" s="23">
        <v>1.6324639415303901</v>
      </c>
      <c r="K204" s="22" t="s">
        <v>576</v>
      </c>
      <c r="L204" s="5" t="s">
        <v>480</v>
      </c>
      <c r="M204" s="5" t="s">
        <v>482</v>
      </c>
      <c r="N204" s="5" t="s">
        <v>481</v>
      </c>
      <c r="O204" s="5" t="s">
        <v>483</v>
      </c>
      <c r="P204" s="5">
        <v>116</v>
      </c>
      <c r="Q204" s="5">
        <v>0</v>
      </c>
      <c r="R204" s="5">
        <v>0</v>
      </c>
      <c r="S204" s="5" t="s">
        <v>7</v>
      </c>
      <c r="T204" s="5">
        <v>116</v>
      </c>
      <c r="U204" s="24" t="s">
        <v>607</v>
      </c>
      <c r="V204" s="5" t="s">
        <v>605</v>
      </c>
    </row>
    <row r="205" spans="1:22" x14ac:dyDescent="0.3">
      <c r="A205" s="5">
        <v>204</v>
      </c>
      <c r="B205" s="5" t="s">
        <v>32</v>
      </c>
      <c r="C205" s="5">
        <v>95125</v>
      </c>
      <c r="D205" s="5" t="str">
        <f>"434-19-079"</f>
        <v>434-19-079</v>
      </c>
      <c r="E205" s="5"/>
      <c r="F205" s="5" t="s">
        <v>33</v>
      </c>
      <c r="G205" s="22" t="s">
        <v>34</v>
      </c>
      <c r="H205" s="22">
        <v>0</v>
      </c>
      <c r="I205" s="5">
        <v>30</v>
      </c>
      <c r="J205" s="23">
        <v>1.86285140176973</v>
      </c>
      <c r="K205" s="22" t="s">
        <v>579</v>
      </c>
      <c r="L205" s="5" t="s">
        <v>480</v>
      </c>
      <c r="M205" s="5" t="s">
        <v>482</v>
      </c>
      <c r="N205" s="5" t="s">
        <v>481</v>
      </c>
      <c r="O205" s="5" t="s">
        <v>483</v>
      </c>
      <c r="P205" s="5">
        <v>56</v>
      </c>
      <c r="Q205" s="5">
        <v>0</v>
      </c>
      <c r="R205" s="5">
        <v>0</v>
      </c>
      <c r="S205" s="5" t="s">
        <v>7</v>
      </c>
      <c r="T205" s="5">
        <v>56</v>
      </c>
      <c r="U205" s="24"/>
      <c r="V205" s="5" t="s">
        <v>610</v>
      </c>
    </row>
    <row r="206" spans="1:22" ht="28.8" x14ac:dyDescent="0.3">
      <c r="A206" s="5">
        <v>205</v>
      </c>
      <c r="B206" s="5" t="s">
        <v>140</v>
      </c>
      <c r="C206" s="5">
        <v>95129</v>
      </c>
      <c r="D206" s="5" t="str">
        <f>"299-14-003"</f>
        <v>299-14-003</v>
      </c>
      <c r="E206" s="5"/>
      <c r="F206" s="5" t="s">
        <v>5</v>
      </c>
      <c r="G206" s="22" t="s">
        <v>508</v>
      </c>
      <c r="H206" s="22">
        <v>0</v>
      </c>
      <c r="I206" s="5">
        <v>0</v>
      </c>
      <c r="J206" s="23">
        <v>0.666428236712311</v>
      </c>
      <c r="K206" s="22" t="s">
        <v>576</v>
      </c>
      <c r="L206" s="5" t="s">
        <v>480</v>
      </c>
      <c r="M206" s="5" t="s">
        <v>482</v>
      </c>
      <c r="N206" s="5" t="s">
        <v>481</v>
      </c>
      <c r="O206" s="5" t="s">
        <v>483</v>
      </c>
      <c r="P206" s="5">
        <v>43</v>
      </c>
      <c r="Q206" s="5">
        <v>0</v>
      </c>
      <c r="R206" s="5">
        <v>0</v>
      </c>
      <c r="S206" s="5" t="s">
        <v>7</v>
      </c>
      <c r="T206" s="5">
        <v>43</v>
      </c>
      <c r="U206" s="24" t="s">
        <v>607</v>
      </c>
      <c r="V206" s="5" t="s">
        <v>627</v>
      </c>
    </row>
    <row r="207" spans="1:22" ht="28.8" x14ac:dyDescent="0.3">
      <c r="A207" s="5">
        <v>206</v>
      </c>
      <c r="B207" s="5" t="s">
        <v>189</v>
      </c>
      <c r="C207" s="5">
        <v>95118</v>
      </c>
      <c r="D207" s="5" t="str">
        <f>"451-07-002"</f>
        <v>451-07-002</v>
      </c>
      <c r="E207" s="5"/>
      <c r="F207" s="5" t="s">
        <v>5</v>
      </c>
      <c r="G207" s="22" t="s">
        <v>508</v>
      </c>
      <c r="H207" s="22">
        <v>0</v>
      </c>
      <c r="I207" s="5">
        <v>0</v>
      </c>
      <c r="J207" s="23">
        <v>0.796135695662465</v>
      </c>
      <c r="K207" s="22" t="s">
        <v>576</v>
      </c>
      <c r="L207" s="5" t="s">
        <v>480</v>
      </c>
      <c r="M207" s="5" t="s">
        <v>482</v>
      </c>
      <c r="N207" s="5" t="s">
        <v>481</v>
      </c>
      <c r="O207" s="5" t="s">
        <v>483</v>
      </c>
      <c r="P207" s="5">
        <v>51</v>
      </c>
      <c r="Q207" s="5">
        <v>0</v>
      </c>
      <c r="R207" s="5">
        <v>0</v>
      </c>
      <c r="S207" s="5" t="s">
        <v>7</v>
      </c>
      <c r="T207" s="5">
        <v>51</v>
      </c>
      <c r="U207" s="24" t="s">
        <v>607</v>
      </c>
      <c r="V207" s="5" t="s">
        <v>710</v>
      </c>
    </row>
    <row r="208" spans="1:22" x14ac:dyDescent="0.3">
      <c r="A208" s="5">
        <v>207</v>
      </c>
      <c r="B208" s="5" t="s">
        <v>116</v>
      </c>
      <c r="C208" s="5">
        <v>95128</v>
      </c>
      <c r="D208" s="5" t="str">
        <f>"282-28-008"</f>
        <v>282-28-008</v>
      </c>
      <c r="E208" s="5" t="s">
        <v>488</v>
      </c>
      <c r="F208" s="5" t="s">
        <v>9</v>
      </c>
      <c r="G208" s="22" t="s">
        <v>18</v>
      </c>
      <c r="H208" s="22">
        <v>0</v>
      </c>
      <c r="I208" s="5">
        <v>150</v>
      </c>
      <c r="J208" s="23">
        <v>0.58831760615026096</v>
      </c>
      <c r="K208" s="22" t="s">
        <v>576</v>
      </c>
      <c r="L208" s="5" t="s">
        <v>480</v>
      </c>
      <c r="M208" s="5" t="s">
        <v>482</v>
      </c>
      <c r="N208" s="5" t="s">
        <v>481</v>
      </c>
      <c r="O208" s="5" t="s">
        <v>483</v>
      </c>
      <c r="P208" s="5">
        <v>66</v>
      </c>
      <c r="Q208" s="5">
        <v>0</v>
      </c>
      <c r="R208" s="5">
        <v>0</v>
      </c>
      <c r="S208" s="5" t="s">
        <v>7</v>
      </c>
      <c r="T208" s="5">
        <v>66</v>
      </c>
      <c r="U208" s="24"/>
      <c r="V208" s="5" t="s">
        <v>661</v>
      </c>
    </row>
    <row r="209" spans="1:22" ht="28.8" x14ac:dyDescent="0.3">
      <c r="A209" s="5">
        <v>208</v>
      </c>
      <c r="B209" s="5" t="s">
        <v>168</v>
      </c>
      <c r="C209" s="5">
        <v>95129</v>
      </c>
      <c r="D209" s="5" t="str">
        <f>"359-27-026"</f>
        <v>359-27-026</v>
      </c>
      <c r="E209" s="5"/>
      <c r="F209" s="5" t="s">
        <v>5</v>
      </c>
      <c r="G209" s="22" t="s">
        <v>590</v>
      </c>
      <c r="H209" s="22">
        <v>0</v>
      </c>
      <c r="I209" s="5">
        <v>0</v>
      </c>
      <c r="J209" s="23">
        <v>0.59026797777392204</v>
      </c>
      <c r="K209" s="22" t="s">
        <v>576</v>
      </c>
      <c r="L209" s="5" t="s">
        <v>480</v>
      </c>
      <c r="M209" s="5" t="s">
        <v>482</v>
      </c>
      <c r="N209" s="5" t="s">
        <v>481</v>
      </c>
      <c r="O209" s="5" t="s">
        <v>483</v>
      </c>
      <c r="P209" s="5">
        <v>38</v>
      </c>
      <c r="Q209" s="5">
        <v>0</v>
      </c>
      <c r="R209" s="5">
        <v>0</v>
      </c>
      <c r="S209" s="5" t="s">
        <v>7</v>
      </c>
      <c r="T209" s="5">
        <v>38</v>
      </c>
      <c r="U209" s="24" t="s">
        <v>607</v>
      </c>
      <c r="V209" s="5" t="s">
        <v>691</v>
      </c>
    </row>
    <row r="210" spans="1:22" x14ac:dyDescent="0.3">
      <c r="A210" s="5">
        <v>209</v>
      </c>
      <c r="B210" s="5" t="s">
        <v>332</v>
      </c>
      <c r="C210" s="5">
        <v>95129</v>
      </c>
      <c r="D210" s="5" t="str">
        <f>"372-23-022"</f>
        <v>372-23-022</v>
      </c>
      <c r="E210" s="5"/>
      <c r="F210" s="5" t="s">
        <v>5</v>
      </c>
      <c r="G210" s="22" t="s">
        <v>508</v>
      </c>
      <c r="H210" s="22">
        <v>0</v>
      </c>
      <c r="I210" s="5">
        <v>0</v>
      </c>
      <c r="J210" s="23">
        <v>0.961055091612673</v>
      </c>
      <c r="K210" s="22" t="s">
        <v>576</v>
      </c>
      <c r="L210" s="5" t="s">
        <v>480</v>
      </c>
      <c r="M210" s="5" t="s">
        <v>482</v>
      </c>
      <c r="N210" s="5" t="s">
        <v>481</v>
      </c>
      <c r="O210" s="5" t="s">
        <v>483</v>
      </c>
      <c r="P210" s="5">
        <v>61</v>
      </c>
      <c r="Q210" s="5">
        <v>0</v>
      </c>
      <c r="R210" s="5">
        <v>0</v>
      </c>
      <c r="S210" s="5" t="s">
        <v>7</v>
      </c>
      <c r="T210" s="5">
        <v>61</v>
      </c>
      <c r="U210" s="24"/>
      <c r="V210" s="5" t="s">
        <v>773</v>
      </c>
    </row>
    <row r="211" spans="1:22" x14ac:dyDescent="0.3">
      <c r="A211" s="5">
        <v>210</v>
      </c>
      <c r="B211" s="5" t="s">
        <v>415</v>
      </c>
      <c r="C211" s="5">
        <v>95134</v>
      </c>
      <c r="D211" s="5" t="str">
        <f>"097-07-047"</f>
        <v>097-07-047</v>
      </c>
      <c r="E211" s="5" t="s">
        <v>563</v>
      </c>
      <c r="F211" s="5" t="s">
        <v>46</v>
      </c>
      <c r="G211" s="22" t="s">
        <v>578</v>
      </c>
      <c r="H211" s="22">
        <v>0</v>
      </c>
      <c r="I211" s="5">
        <v>0</v>
      </c>
      <c r="J211" s="23">
        <v>3.6736279246969801</v>
      </c>
      <c r="K211" s="22" t="s">
        <v>577</v>
      </c>
      <c r="L211" s="5" t="s">
        <v>480</v>
      </c>
      <c r="M211" s="5" t="s">
        <v>482</v>
      </c>
      <c r="N211" s="5" t="s">
        <v>481</v>
      </c>
      <c r="O211" s="5" t="s">
        <v>847</v>
      </c>
      <c r="P211" s="5">
        <v>0</v>
      </c>
      <c r="Q211" s="5">
        <v>0</v>
      </c>
      <c r="R211" s="5"/>
      <c r="S211" s="5" t="s">
        <v>7</v>
      </c>
      <c r="T211" s="5">
        <v>486</v>
      </c>
      <c r="U211" s="24" t="s">
        <v>601</v>
      </c>
      <c r="V211" s="5" t="s">
        <v>614</v>
      </c>
    </row>
    <row r="212" spans="1:22" ht="28.8" x14ac:dyDescent="0.3">
      <c r="A212" s="5">
        <v>211</v>
      </c>
      <c r="B212" s="5" t="s">
        <v>213</v>
      </c>
      <c r="C212" s="5">
        <v>95123</v>
      </c>
      <c r="D212" s="5" t="str">
        <f>"690-25-012"</f>
        <v>690-25-012</v>
      </c>
      <c r="E212" s="5"/>
      <c r="F212" s="5" t="s">
        <v>5</v>
      </c>
      <c r="G212" s="22" t="s">
        <v>508</v>
      </c>
      <c r="H212" s="22">
        <v>0</v>
      </c>
      <c r="I212" s="5">
        <v>0</v>
      </c>
      <c r="J212" s="23">
        <v>0.65379983436843203</v>
      </c>
      <c r="K212" s="22" t="s">
        <v>576</v>
      </c>
      <c r="L212" s="5" t="s">
        <v>480</v>
      </c>
      <c r="M212" s="5" t="s">
        <v>482</v>
      </c>
      <c r="N212" s="5" t="s">
        <v>481</v>
      </c>
      <c r="O212" s="5" t="s">
        <v>483</v>
      </c>
      <c r="P212" s="5">
        <v>42</v>
      </c>
      <c r="Q212" s="5">
        <v>0</v>
      </c>
      <c r="R212" s="5">
        <v>0</v>
      </c>
      <c r="S212" s="5" t="s">
        <v>7</v>
      </c>
      <c r="T212" s="5">
        <v>42</v>
      </c>
      <c r="U212" s="24" t="s">
        <v>607</v>
      </c>
      <c r="V212" s="5" t="s">
        <v>605</v>
      </c>
    </row>
    <row r="213" spans="1:22" ht="28.8" x14ac:dyDescent="0.3">
      <c r="A213" s="5">
        <v>212</v>
      </c>
      <c r="B213" s="5" t="s">
        <v>176</v>
      </c>
      <c r="C213" s="5">
        <v>95129</v>
      </c>
      <c r="D213" s="5" t="str">
        <f>"372-26-019"</f>
        <v>372-26-019</v>
      </c>
      <c r="E213" s="5" t="s">
        <v>516</v>
      </c>
      <c r="F213" s="5" t="s">
        <v>5</v>
      </c>
      <c r="G213" s="22" t="s">
        <v>508</v>
      </c>
      <c r="H213" s="22">
        <v>0</v>
      </c>
      <c r="I213" s="5">
        <v>0</v>
      </c>
      <c r="J213" s="23">
        <v>1.03905830514445</v>
      </c>
      <c r="K213" s="22" t="s">
        <v>576</v>
      </c>
      <c r="L213" s="5" t="s">
        <v>480</v>
      </c>
      <c r="M213" s="5" t="s">
        <v>482</v>
      </c>
      <c r="N213" s="5" t="s">
        <v>481</v>
      </c>
      <c r="O213" s="5" t="s">
        <v>483</v>
      </c>
      <c r="P213" s="5">
        <v>74</v>
      </c>
      <c r="Q213" s="5">
        <v>0</v>
      </c>
      <c r="R213" s="5">
        <v>0</v>
      </c>
      <c r="S213" s="5" t="s">
        <v>7</v>
      </c>
      <c r="T213" s="5">
        <v>74</v>
      </c>
      <c r="U213" s="24" t="s">
        <v>607</v>
      </c>
      <c r="V213" s="5" t="s">
        <v>605</v>
      </c>
    </row>
    <row r="214" spans="1:22" ht="28.8" x14ac:dyDescent="0.3">
      <c r="A214" s="5">
        <v>213</v>
      </c>
      <c r="B214" s="5" t="s">
        <v>79</v>
      </c>
      <c r="C214" s="5">
        <v>95124</v>
      </c>
      <c r="D214" s="5" t="str">
        <f>"414-24-038"</f>
        <v>414-24-038</v>
      </c>
      <c r="E214" s="5" t="s">
        <v>496</v>
      </c>
      <c r="F214" s="5" t="s">
        <v>5</v>
      </c>
      <c r="G214" s="22" t="s">
        <v>500</v>
      </c>
      <c r="H214" s="22">
        <v>0</v>
      </c>
      <c r="I214" s="5">
        <v>0</v>
      </c>
      <c r="J214" s="23">
        <v>0.49800003074467297</v>
      </c>
      <c r="K214" s="22" t="s">
        <v>576</v>
      </c>
      <c r="L214" s="5" t="s">
        <v>480</v>
      </c>
      <c r="M214" s="5" t="s">
        <v>482</v>
      </c>
      <c r="N214" s="5" t="s">
        <v>481</v>
      </c>
      <c r="O214" s="5" t="s">
        <v>483</v>
      </c>
      <c r="P214" s="5">
        <v>32</v>
      </c>
      <c r="Q214" s="5">
        <v>0</v>
      </c>
      <c r="R214" s="5">
        <v>0</v>
      </c>
      <c r="S214" s="5" t="s">
        <v>7</v>
      </c>
      <c r="T214" s="5">
        <v>32</v>
      </c>
      <c r="U214" s="24" t="s">
        <v>607</v>
      </c>
      <c r="V214" s="5" t="s">
        <v>635</v>
      </c>
    </row>
    <row r="215" spans="1:22" ht="28.8" x14ac:dyDescent="0.3">
      <c r="A215" s="5">
        <v>214</v>
      </c>
      <c r="B215" s="5" t="s">
        <v>31</v>
      </c>
      <c r="C215" s="5">
        <v>95124</v>
      </c>
      <c r="D215" s="5" t="str">
        <f>"419-12-049"</f>
        <v>419-12-049</v>
      </c>
      <c r="E215" s="5" t="s">
        <v>490</v>
      </c>
      <c r="F215" s="5" t="s">
        <v>5</v>
      </c>
      <c r="G215" s="22" t="s">
        <v>508</v>
      </c>
      <c r="H215" s="22">
        <v>0</v>
      </c>
      <c r="I215" s="5">
        <v>0</v>
      </c>
      <c r="J215" s="23">
        <v>1.1793640714812701</v>
      </c>
      <c r="K215" s="22" t="s">
        <v>576</v>
      </c>
      <c r="L215" s="5" t="s">
        <v>480</v>
      </c>
      <c r="M215" s="5" t="s">
        <v>482</v>
      </c>
      <c r="N215" s="5" t="s">
        <v>481</v>
      </c>
      <c r="O215" s="5" t="s">
        <v>483</v>
      </c>
      <c r="P215" s="5">
        <v>84</v>
      </c>
      <c r="Q215" s="5">
        <v>0</v>
      </c>
      <c r="R215" s="5">
        <v>0</v>
      </c>
      <c r="S215" s="5" t="s">
        <v>7</v>
      </c>
      <c r="T215" s="5">
        <v>84</v>
      </c>
      <c r="U215" s="24" t="s">
        <v>607</v>
      </c>
      <c r="V215" s="5" t="s">
        <v>609</v>
      </c>
    </row>
    <row r="216" spans="1:22" x14ac:dyDescent="0.3">
      <c r="A216" s="5">
        <v>215</v>
      </c>
      <c r="B216" s="5" t="s">
        <v>304</v>
      </c>
      <c r="C216" s="5">
        <v>95133</v>
      </c>
      <c r="D216" s="5" t="str">
        <f>"245-42-029"</f>
        <v>245-42-029</v>
      </c>
      <c r="E216" s="5" t="s">
        <v>541</v>
      </c>
      <c r="F216" s="5" t="s">
        <v>9</v>
      </c>
      <c r="G216" s="22" t="s">
        <v>18</v>
      </c>
      <c r="H216" s="22">
        <v>55</v>
      </c>
      <c r="I216" s="5">
        <v>125</v>
      </c>
      <c r="J216" s="23">
        <v>3.3884601092453699</v>
      </c>
      <c r="K216" s="22" t="s">
        <v>576</v>
      </c>
      <c r="L216" s="5" t="s">
        <v>480</v>
      </c>
      <c r="M216" s="5" t="s">
        <v>482</v>
      </c>
      <c r="N216" s="5" t="s">
        <v>481</v>
      </c>
      <c r="O216" s="5" t="s">
        <v>483</v>
      </c>
      <c r="P216" s="5">
        <v>307</v>
      </c>
      <c r="Q216" s="5">
        <v>0</v>
      </c>
      <c r="R216" s="5">
        <v>0</v>
      </c>
      <c r="S216" s="5" t="s">
        <v>7</v>
      </c>
      <c r="T216" s="5">
        <v>307</v>
      </c>
      <c r="U216" s="24"/>
      <c r="V216" s="5" t="s">
        <v>758</v>
      </c>
    </row>
    <row r="217" spans="1:22" ht="28.8" x14ac:dyDescent="0.3">
      <c r="A217" s="5">
        <v>216</v>
      </c>
      <c r="B217" s="5" t="s">
        <v>188</v>
      </c>
      <c r="C217" s="5">
        <v>95127</v>
      </c>
      <c r="D217" s="5" t="str">
        <f>"599-37-050"</f>
        <v>599-37-050</v>
      </c>
      <c r="E217" s="5" t="s">
        <v>519</v>
      </c>
      <c r="F217" s="5" t="s">
        <v>5</v>
      </c>
      <c r="G217" s="22" t="s">
        <v>508</v>
      </c>
      <c r="H217" s="22">
        <v>0</v>
      </c>
      <c r="I217" s="5">
        <v>0</v>
      </c>
      <c r="J217" s="23">
        <v>0.62652114669271097</v>
      </c>
      <c r="K217" s="22" t="s">
        <v>576</v>
      </c>
      <c r="L217" s="5" t="s">
        <v>480</v>
      </c>
      <c r="M217" s="5" t="s">
        <v>482</v>
      </c>
      <c r="N217" s="5" t="s">
        <v>481</v>
      </c>
      <c r="O217" s="5" t="s">
        <v>483</v>
      </c>
      <c r="P217" s="5">
        <v>42</v>
      </c>
      <c r="Q217" s="5">
        <v>0</v>
      </c>
      <c r="R217" s="5">
        <v>0</v>
      </c>
      <c r="S217" s="5" t="s">
        <v>7</v>
      </c>
      <c r="T217" s="5">
        <v>42</v>
      </c>
      <c r="U217" s="24" t="s">
        <v>607</v>
      </c>
      <c r="V217" s="5" t="s">
        <v>681</v>
      </c>
    </row>
    <row r="218" spans="1:22" x14ac:dyDescent="0.3">
      <c r="A218" s="5">
        <v>217</v>
      </c>
      <c r="B218" s="5" t="s">
        <v>247</v>
      </c>
      <c r="C218" s="5">
        <v>95110</v>
      </c>
      <c r="D218" s="5" t="str">
        <f>"259-31-067"</f>
        <v>259-31-067</v>
      </c>
      <c r="E218" s="5"/>
      <c r="F218" s="5" t="s">
        <v>20</v>
      </c>
      <c r="G218" s="22" t="s">
        <v>584</v>
      </c>
      <c r="H218" s="22">
        <v>0</v>
      </c>
      <c r="I218" s="5">
        <v>800</v>
      </c>
      <c r="J218" s="23">
        <v>0.558900781916847</v>
      </c>
      <c r="K218" s="22" t="s">
        <v>582</v>
      </c>
      <c r="L218" s="5" t="s">
        <v>480</v>
      </c>
      <c r="M218" s="5" t="s">
        <v>482</v>
      </c>
      <c r="N218" s="5" t="s">
        <v>481</v>
      </c>
      <c r="O218" s="5" t="s">
        <v>483</v>
      </c>
      <c r="P218" s="5">
        <v>0</v>
      </c>
      <c r="Q218" s="5">
        <v>0</v>
      </c>
      <c r="R218" s="5">
        <v>0</v>
      </c>
      <c r="S218" s="5" t="s">
        <v>7</v>
      </c>
      <c r="T218" s="5">
        <v>63</v>
      </c>
      <c r="U218" s="24"/>
      <c r="V218" s="5" t="s">
        <v>660</v>
      </c>
    </row>
    <row r="219" spans="1:22" x14ac:dyDescent="0.3">
      <c r="A219" s="5">
        <v>218</v>
      </c>
      <c r="B219" s="5" t="s">
        <v>39</v>
      </c>
      <c r="C219" s="5">
        <v>95133</v>
      </c>
      <c r="D219" s="5" t="str">
        <f>"254-80-022"</f>
        <v>254-80-022</v>
      </c>
      <c r="E219" s="5" t="s">
        <v>491</v>
      </c>
      <c r="F219" s="5" t="s">
        <v>5</v>
      </c>
      <c r="G219" s="22" t="s">
        <v>508</v>
      </c>
      <c r="H219" s="22">
        <v>0</v>
      </c>
      <c r="I219" s="5">
        <v>0</v>
      </c>
      <c r="J219" s="23">
        <v>0.662265340967511</v>
      </c>
      <c r="K219" s="22" t="s">
        <v>577</v>
      </c>
      <c r="L219" s="5" t="s">
        <v>480</v>
      </c>
      <c r="M219" s="5" t="s">
        <v>482</v>
      </c>
      <c r="N219" s="5" t="s">
        <v>481</v>
      </c>
      <c r="O219" s="5" t="s">
        <v>483</v>
      </c>
      <c r="P219" s="5">
        <v>70</v>
      </c>
      <c r="Q219" s="5">
        <v>0</v>
      </c>
      <c r="R219" s="5">
        <v>0</v>
      </c>
      <c r="S219" s="5" t="s">
        <v>7</v>
      </c>
      <c r="T219" s="5">
        <v>70</v>
      </c>
      <c r="U219" s="24" t="s">
        <v>595</v>
      </c>
      <c r="V219" s="5" t="s">
        <v>614</v>
      </c>
    </row>
    <row r="220" spans="1:22" x14ac:dyDescent="0.3">
      <c r="A220" s="5">
        <v>219</v>
      </c>
      <c r="B220" s="5" t="s">
        <v>387</v>
      </c>
      <c r="C220" s="5">
        <v>95116</v>
      </c>
      <c r="D220" s="5" t="str">
        <f>"481-02-055"</f>
        <v>481-02-055</v>
      </c>
      <c r="E220" s="5" t="s">
        <v>560</v>
      </c>
      <c r="F220" s="5" t="s">
        <v>5</v>
      </c>
      <c r="G220" s="22" t="s">
        <v>508</v>
      </c>
      <c r="H220" s="22">
        <v>0</v>
      </c>
      <c r="I220" s="5">
        <v>0</v>
      </c>
      <c r="J220" s="23">
        <v>0.14009424143861501</v>
      </c>
      <c r="K220" s="22" t="s">
        <v>579</v>
      </c>
      <c r="L220" s="5" t="s">
        <v>480</v>
      </c>
      <c r="M220" s="5" t="s">
        <v>482</v>
      </c>
      <c r="N220" s="5" t="s">
        <v>481</v>
      </c>
      <c r="O220" s="5" t="s">
        <v>483</v>
      </c>
      <c r="P220" s="5">
        <v>13</v>
      </c>
      <c r="Q220" s="5">
        <v>0</v>
      </c>
      <c r="R220" s="5">
        <v>0</v>
      </c>
      <c r="S220" s="5" t="s">
        <v>7</v>
      </c>
      <c r="T220" s="5">
        <v>13</v>
      </c>
      <c r="U220" s="24" t="s">
        <v>595</v>
      </c>
      <c r="V220" s="5" t="s">
        <v>610</v>
      </c>
    </row>
    <row r="221" spans="1:22" x14ac:dyDescent="0.3">
      <c r="A221" s="5">
        <v>220</v>
      </c>
      <c r="B221" s="5" t="s">
        <v>78</v>
      </c>
      <c r="C221" s="5">
        <v>95133</v>
      </c>
      <c r="D221" s="5" t="str">
        <f>"254-29-026"</f>
        <v>254-29-026</v>
      </c>
      <c r="E221" s="5"/>
      <c r="F221" s="5" t="s">
        <v>222</v>
      </c>
      <c r="G221" s="22" t="s">
        <v>223</v>
      </c>
      <c r="H221" s="22">
        <v>50</v>
      </c>
      <c r="I221" s="5">
        <v>250</v>
      </c>
      <c r="J221" s="23">
        <v>1.35459819661306</v>
      </c>
      <c r="K221" s="22" t="s">
        <v>577</v>
      </c>
      <c r="L221" s="5" t="s">
        <v>480</v>
      </c>
      <c r="M221" s="5" t="s">
        <v>482</v>
      </c>
      <c r="N221" s="5" t="s">
        <v>481</v>
      </c>
      <c r="O221" s="5" t="s">
        <v>847</v>
      </c>
      <c r="P221" s="5">
        <v>136</v>
      </c>
      <c r="Q221" s="5">
        <v>0</v>
      </c>
      <c r="R221" s="25">
        <v>0</v>
      </c>
      <c r="S221" s="5" t="s">
        <v>7</v>
      </c>
      <c r="T221" s="5">
        <v>136</v>
      </c>
      <c r="U221" s="24"/>
      <c r="V221" s="5" t="s">
        <v>807</v>
      </c>
    </row>
    <row r="222" spans="1:22" x14ac:dyDescent="0.3">
      <c r="A222" s="5">
        <v>221</v>
      </c>
      <c r="B222" s="5" t="s">
        <v>227</v>
      </c>
      <c r="C222" s="5">
        <v>95112</v>
      </c>
      <c r="D222" s="5" t="str">
        <f>"249-09-004"</f>
        <v>249-09-004</v>
      </c>
      <c r="E222" s="5"/>
      <c r="F222" s="5" t="s">
        <v>33</v>
      </c>
      <c r="G222" s="22" t="s">
        <v>34</v>
      </c>
      <c r="H222" s="22">
        <v>0</v>
      </c>
      <c r="I222" s="5">
        <v>30</v>
      </c>
      <c r="J222" s="23">
        <v>0.5718737482563</v>
      </c>
      <c r="K222" s="22" t="s">
        <v>576</v>
      </c>
      <c r="L222" s="5" t="s">
        <v>480</v>
      </c>
      <c r="M222" s="5" t="s">
        <v>482</v>
      </c>
      <c r="N222" s="5" t="s">
        <v>481</v>
      </c>
      <c r="O222" s="5" t="s">
        <v>483</v>
      </c>
      <c r="P222" s="5">
        <v>0</v>
      </c>
      <c r="Q222" s="5">
        <v>10</v>
      </c>
      <c r="R222" s="5">
        <v>0</v>
      </c>
      <c r="S222" s="5" t="s">
        <v>21</v>
      </c>
      <c r="T222" s="5">
        <v>10</v>
      </c>
      <c r="U222" s="24"/>
      <c r="V222" s="5" t="s">
        <v>730</v>
      </c>
    </row>
    <row r="223" spans="1:22" x14ac:dyDescent="0.3">
      <c r="A223" s="5">
        <v>222</v>
      </c>
      <c r="B223" s="5" t="s">
        <v>59</v>
      </c>
      <c r="C223" s="5">
        <v>95116</v>
      </c>
      <c r="D223" s="5" t="str">
        <f>"481-44-107"</f>
        <v>481-44-107</v>
      </c>
      <c r="E223" s="5"/>
      <c r="F223" s="5" t="s">
        <v>5</v>
      </c>
      <c r="G223" s="22" t="s">
        <v>508</v>
      </c>
      <c r="H223" s="22">
        <v>0</v>
      </c>
      <c r="I223" s="5">
        <v>0</v>
      </c>
      <c r="J223" s="23">
        <v>0.686455693131091</v>
      </c>
      <c r="K223" s="22" t="s">
        <v>576</v>
      </c>
      <c r="L223" s="5" t="s">
        <v>480</v>
      </c>
      <c r="M223" s="5" t="s">
        <v>482</v>
      </c>
      <c r="N223" s="5" t="s">
        <v>481</v>
      </c>
      <c r="O223" s="5" t="s">
        <v>483</v>
      </c>
      <c r="P223" s="5">
        <v>64</v>
      </c>
      <c r="Q223" s="5">
        <v>0</v>
      </c>
      <c r="R223" s="5">
        <v>0</v>
      </c>
      <c r="S223" s="5" t="s">
        <v>7</v>
      </c>
      <c r="T223" s="5">
        <v>64</v>
      </c>
      <c r="U223" s="24" t="s">
        <v>595</v>
      </c>
      <c r="V223" s="5" t="s">
        <v>605</v>
      </c>
    </row>
    <row r="224" spans="1:22" x14ac:dyDescent="0.3">
      <c r="A224" s="5">
        <v>223</v>
      </c>
      <c r="B224" s="5" t="s">
        <v>78</v>
      </c>
      <c r="C224" s="5">
        <v>95127</v>
      </c>
      <c r="D224" s="5" t="str">
        <f>"484-44-063"</f>
        <v>484-44-063</v>
      </c>
      <c r="E224" s="5" t="s">
        <v>527</v>
      </c>
      <c r="F224" s="5" t="s">
        <v>5</v>
      </c>
      <c r="G224" s="22" t="s">
        <v>508</v>
      </c>
      <c r="H224" s="22">
        <v>0</v>
      </c>
      <c r="I224" s="5">
        <v>0</v>
      </c>
      <c r="J224" s="23">
        <v>0.23851940345577499</v>
      </c>
      <c r="K224" s="22" t="s">
        <v>582</v>
      </c>
      <c r="L224" s="5" t="s">
        <v>480</v>
      </c>
      <c r="M224" s="5" t="s">
        <v>482</v>
      </c>
      <c r="N224" s="5" t="s">
        <v>481</v>
      </c>
      <c r="O224" s="5" t="s">
        <v>847</v>
      </c>
      <c r="P224" s="5">
        <v>17</v>
      </c>
      <c r="Q224" s="5">
        <v>0</v>
      </c>
      <c r="R224" s="5">
        <v>0</v>
      </c>
      <c r="S224" s="5" t="s">
        <v>7</v>
      </c>
      <c r="T224" s="5">
        <v>17</v>
      </c>
      <c r="U224" s="24"/>
      <c r="V224" s="5" t="s">
        <v>824</v>
      </c>
    </row>
    <row r="225" spans="1:22" x14ac:dyDescent="0.3">
      <c r="A225" s="5">
        <v>224</v>
      </c>
      <c r="B225" s="5" t="s">
        <v>143</v>
      </c>
      <c r="C225" s="5">
        <v>95128</v>
      </c>
      <c r="D225" s="5" t="str">
        <f>"299-25-011"</f>
        <v>299-25-011</v>
      </c>
      <c r="E225" s="5" t="s">
        <v>510</v>
      </c>
      <c r="F225" s="5" t="s">
        <v>29</v>
      </c>
      <c r="G225" s="22" t="s">
        <v>37</v>
      </c>
      <c r="H225" s="22">
        <v>0</v>
      </c>
      <c r="I225" s="5">
        <v>75</v>
      </c>
      <c r="J225" s="23">
        <v>0.84045752355857095</v>
      </c>
      <c r="K225" s="22" t="s">
        <v>576</v>
      </c>
      <c r="L225" s="5" t="s">
        <v>480</v>
      </c>
      <c r="M225" s="5" t="s">
        <v>482</v>
      </c>
      <c r="N225" s="5" t="s">
        <v>481</v>
      </c>
      <c r="O225" s="5" t="s">
        <v>483</v>
      </c>
      <c r="P225" s="5">
        <v>60</v>
      </c>
      <c r="Q225" s="5"/>
      <c r="R225" s="5">
        <v>0</v>
      </c>
      <c r="S225" s="5" t="s">
        <v>7</v>
      </c>
      <c r="T225" s="5">
        <v>60</v>
      </c>
      <c r="U225" s="24"/>
      <c r="V225" s="5" t="s">
        <v>680</v>
      </c>
    </row>
    <row r="226" spans="1:22" x14ac:dyDescent="0.3">
      <c r="A226" s="5">
        <v>225</v>
      </c>
      <c r="B226" s="5" t="s">
        <v>114</v>
      </c>
      <c r="C226" s="5">
        <v>95128</v>
      </c>
      <c r="D226" s="5" t="str">
        <f>"282-28-006"</f>
        <v>282-28-006</v>
      </c>
      <c r="E226" s="5" t="s">
        <v>503</v>
      </c>
      <c r="F226" s="5" t="s">
        <v>9</v>
      </c>
      <c r="G226" s="22" t="s">
        <v>18</v>
      </c>
      <c r="H226" s="22">
        <v>0</v>
      </c>
      <c r="I226" s="5">
        <v>150</v>
      </c>
      <c r="J226" s="23">
        <v>0.96097280449580302</v>
      </c>
      <c r="K226" s="22" t="s">
        <v>576</v>
      </c>
      <c r="L226" s="5" t="s">
        <v>480</v>
      </c>
      <c r="M226" s="5" t="s">
        <v>482</v>
      </c>
      <c r="N226" s="5" t="s">
        <v>481</v>
      </c>
      <c r="O226" s="5" t="s">
        <v>483</v>
      </c>
      <c r="P226" s="5">
        <v>0</v>
      </c>
      <c r="Q226" s="5">
        <v>67</v>
      </c>
      <c r="R226" s="5">
        <v>0</v>
      </c>
      <c r="S226" s="5" t="s">
        <v>21</v>
      </c>
      <c r="T226" s="5">
        <v>67</v>
      </c>
      <c r="U226" s="24"/>
      <c r="V226" s="5" t="s">
        <v>657</v>
      </c>
    </row>
    <row r="227" spans="1:22" ht="28.8" x14ac:dyDescent="0.3">
      <c r="A227" s="5">
        <v>226</v>
      </c>
      <c r="B227" s="5" t="s">
        <v>56</v>
      </c>
      <c r="C227" s="5">
        <v>95118</v>
      </c>
      <c r="D227" s="5" t="str">
        <f>"439-48-044"</f>
        <v>439-48-044</v>
      </c>
      <c r="E227" s="5" t="s">
        <v>492</v>
      </c>
      <c r="F227" s="5" t="s">
        <v>5</v>
      </c>
      <c r="G227" s="22" t="s">
        <v>508</v>
      </c>
      <c r="H227" s="22">
        <v>0</v>
      </c>
      <c r="I227" s="5">
        <v>0</v>
      </c>
      <c r="J227" s="23">
        <v>0.78405564307854603</v>
      </c>
      <c r="K227" s="22" t="s">
        <v>579</v>
      </c>
      <c r="L227" s="5" t="s">
        <v>480</v>
      </c>
      <c r="M227" s="5" t="s">
        <v>482</v>
      </c>
      <c r="N227" s="5" t="s">
        <v>481</v>
      </c>
      <c r="O227" s="5" t="s">
        <v>483</v>
      </c>
      <c r="P227" s="5">
        <v>56</v>
      </c>
      <c r="Q227" s="5">
        <v>0</v>
      </c>
      <c r="R227" s="5">
        <v>0</v>
      </c>
      <c r="S227" s="5" t="s">
        <v>7</v>
      </c>
      <c r="T227" s="5">
        <v>56</v>
      </c>
      <c r="U227" s="24" t="s">
        <v>607</v>
      </c>
      <c r="V227" s="5" t="s">
        <v>623</v>
      </c>
    </row>
    <row r="228" spans="1:22" x14ac:dyDescent="0.3">
      <c r="A228" s="5">
        <v>227</v>
      </c>
      <c r="B228" s="5" t="s">
        <v>111</v>
      </c>
      <c r="C228" s="5">
        <v>95128</v>
      </c>
      <c r="D228" s="5" t="str">
        <f>"282-28-003"</f>
        <v>282-28-003</v>
      </c>
      <c r="E228" s="5" t="s">
        <v>503</v>
      </c>
      <c r="F228" s="5" t="s">
        <v>9</v>
      </c>
      <c r="G228" s="22" t="s">
        <v>18</v>
      </c>
      <c r="H228" s="22">
        <v>0</v>
      </c>
      <c r="I228" s="5">
        <v>150</v>
      </c>
      <c r="J228" s="23">
        <v>0.95849015921251002</v>
      </c>
      <c r="K228" s="22" t="s">
        <v>576</v>
      </c>
      <c r="L228" s="5" t="s">
        <v>480</v>
      </c>
      <c r="M228" s="5" t="s">
        <v>482</v>
      </c>
      <c r="N228" s="5" t="s">
        <v>481</v>
      </c>
      <c r="O228" s="5" t="s">
        <v>483</v>
      </c>
      <c r="P228" s="5">
        <v>0</v>
      </c>
      <c r="Q228" s="5">
        <v>67</v>
      </c>
      <c r="R228" s="5">
        <v>0</v>
      </c>
      <c r="S228" s="5" t="s">
        <v>21</v>
      </c>
      <c r="T228" s="5">
        <v>67</v>
      </c>
      <c r="U228" s="24"/>
      <c r="V228" s="5" t="s">
        <v>657</v>
      </c>
    </row>
    <row r="229" spans="1:22" x14ac:dyDescent="0.3">
      <c r="A229" s="5">
        <v>228</v>
      </c>
      <c r="B229" s="5" t="s">
        <v>11</v>
      </c>
      <c r="C229" s="5">
        <v>95126</v>
      </c>
      <c r="D229" s="5" t="str">
        <f>"261-09-083"</f>
        <v>261-09-083</v>
      </c>
      <c r="E229" s="5"/>
      <c r="F229" s="5" t="s">
        <v>5</v>
      </c>
      <c r="G229" s="22" t="s">
        <v>508</v>
      </c>
      <c r="H229" s="22">
        <v>0</v>
      </c>
      <c r="I229" s="5">
        <v>0</v>
      </c>
      <c r="J229" s="23">
        <v>0.840286218051019</v>
      </c>
      <c r="K229" s="22" t="s">
        <v>576</v>
      </c>
      <c r="L229" s="5" t="s">
        <v>480</v>
      </c>
      <c r="M229" s="5" t="s">
        <v>482</v>
      </c>
      <c r="N229" s="5" t="s">
        <v>481</v>
      </c>
      <c r="O229" s="5" t="s">
        <v>483</v>
      </c>
      <c r="P229" s="5">
        <v>66</v>
      </c>
      <c r="Q229" s="5">
        <v>0</v>
      </c>
      <c r="R229" s="5">
        <v>0</v>
      </c>
      <c r="S229" s="5" t="s">
        <v>7</v>
      </c>
      <c r="T229" s="5">
        <v>66</v>
      </c>
      <c r="U229" s="24" t="s">
        <v>595</v>
      </c>
      <c r="V229" s="5" t="s">
        <v>598</v>
      </c>
    </row>
    <row r="230" spans="1:22" x14ac:dyDescent="0.3">
      <c r="A230" s="5">
        <v>229</v>
      </c>
      <c r="B230" s="5" t="s">
        <v>312</v>
      </c>
      <c r="C230" s="5">
        <v>95125</v>
      </c>
      <c r="D230" s="5" t="str">
        <f>"456-10-014"</f>
        <v>456-10-014</v>
      </c>
      <c r="E230" s="5" t="s">
        <v>543</v>
      </c>
      <c r="F230" s="5" t="s">
        <v>50</v>
      </c>
      <c r="G230" s="22" t="s">
        <v>96</v>
      </c>
      <c r="H230" s="22">
        <v>30</v>
      </c>
      <c r="I230" s="5">
        <v>95</v>
      </c>
      <c r="J230" s="23">
        <v>0.72118602500573203</v>
      </c>
      <c r="K230" s="22" t="s">
        <v>580</v>
      </c>
      <c r="L230" s="5" t="s">
        <v>480</v>
      </c>
      <c r="M230" s="5" t="s">
        <v>482</v>
      </c>
      <c r="N230" s="5" t="s">
        <v>481</v>
      </c>
      <c r="O230" s="5" t="s">
        <v>483</v>
      </c>
      <c r="P230" s="25">
        <v>0</v>
      </c>
      <c r="Q230" s="5">
        <v>35</v>
      </c>
      <c r="R230" s="5">
        <v>0</v>
      </c>
      <c r="S230" s="5" t="s">
        <v>21</v>
      </c>
      <c r="T230" s="5">
        <v>35</v>
      </c>
      <c r="U230" s="24"/>
      <c r="V230" s="5" t="s">
        <v>763</v>
      </c>
    </row>
    <row r="231" spans="1:22" x14ac:dyDescent="0.3">
      <c r="A231" s="5">
        <v>230</v>
      </c>
      <c r="B231" s="5" t="s">
        <v>211</v>
      </c>
      <c r="C231" s="5">
        <v>95124</v>
      </c>
      <c r="D231" s="5" t="str">
        <f>"527-33-017"</f>
        <v>527-33-017</v>
      </c>
      <c r="E231" s="5" t="s">
        <v>524</v>
      </c>
      <c r="F231" s="5" t="s">
        <v>5</v>
      </c>
      <c r="G231" s="22" t="s">
        <v>508</v>
      </c>
      <c r="H231" s="22">
        <v>0</v>
      </c>
      <c r="I231" s="5">
        <v>0</v>
      </c>
      <c r="J231" s="23">
        <v>0.67037600118964702</v>
      </c>
      <c r="K231" s="22" t="s">
        <v>576</v>
      </c>
      <c r="L231" s="5" t="s">
        <v>480</v>
      </c>
      <c r="M231" s="5" t="s">
        <v>482</v>
      </c>
      <c r="N231" s="5" t="s">
        <v>481</v>
      </c>
      <c r="O231" s="5" t="s">
        <v>483</v>
      </c>
      <c r="P231" s="5">
        <v>68</v>
      </c>
      <c r="Q231" s="5">
        <v>0</v>
      </c>
      <c r="R231" s="5">
        <v>0</v>
      </c>
      <c r="S231" s="5" t="s">
        <v>7</v>
      </c>
      <c r="T231" s="5">
        <v>68</v>
      </c>
      <c r="U231" s="24" t="s">
        <v>595</v>
      </c>
      <c r="V231" s="5" t="s">
        <v>708</v>
      </c>
    </row>
    <row r="232" spans="1:22" x14ac:dyDescent="0.3">
      <c r="A232" s="5">
        <v>231</v>
      </c>
      <c r="B232" s="5" t="s">
        <v>214</v>
      </c>
      <c r="C232" s="5">
        <v>95126</v>
      </c>
      <c r="D232" s="5" t="str">
        <f>"274-02-047"</f>
        <v>274-02-047</v>
      </c>
      <c r="E232" s="5"/>
      <c r="F232" s="5" t="s">
        <v>5</v>
      </c>
      <c r="G232" s="22" t="s">
        <v>508</v>
      </c>
      <c r="H232" s="22">
        <v>0</v>
      </c>
      <c r="I232" s="5">
        <v>0</v>
      </c>
      <c r="J232" s="23">
        <v>0.55871543899420495</v>
      </c>
      <c r="K232" s="22" t="s">
        <v>576</v>
      </c>
      <c r="L232" s="5" t="s">
        <v>480</v>
      </c>
      <c r="M232" s="5" t="s">
        <v>482</v>
      </c>
      <c r="N232" s="5" t="s">
        <v>481</v>
      </c>
      <c r="O232" s="5" t="s">
        <v>483</v>
      </c>
      <c r="P232" s="5">
        <v>44</v>
      </c>
      <c r="Q232" s="5">
        <v>0</v>
      </c>
      <c r="R232" s="5">
        <v>0</v>
      </c>
      <c r="S232" s="5" t="s">
        <v>7</v>
      </c>
      <c r="T232" s="5">
        <v>44</v>
      </c>
      <c r="U232" s="24" t="s">
        <v>595</v>
      </c>
      <c r="V232" s="5" t="s">
        <v>722</v>
      </c>
    </row>
    <row r="233" spans="1:22" ht="28.8" x14ac:dyDescent="0.3">
      <c r="A233" s="5">
        <v>232</v>
      </c>
      <c r="B233" s="5" t="s">
        <v>166</v>
      </c>
      <c r="C233" s="5">
        <v>95130</v>
      </c>
      <c r="D233" s="5" t="str">
        <f>"307-05-066"</f>
        <v>307-05-066</v>
      </c>
      <c r="E233" s="5" t="s">
        <v>514</v>
      </c>
      <c r="F233" s="5" t="s">
        <v>5</v>
      </c>
      <c r="G233" s="22" t="s">
        <v>508</v>
      </c>
      <c r="H233" s="22">
        <v>0</v>
      </c>
      <c r="I233" s="5">
        <v>0</v>
      </c>
      <c r="J233" s="23">
        <v>0.79970889336866902</v>
      </c>
      <c r="K233" s="22" t="s">
        <v>576</v>
      </c>
      <c r="L233" s="5" t="s">
        <v>480</v>
      </c>
      <c r="M233" s="5" t="s">
        <v>482</v>
      </c>
      <c r="N233" s="5" t="s">
        <v>481</v>
      </c>
      <c r="O233" s="5" t="s">
        <v>483</v>
      </c>
      <c r="P233" s="5">
        <v>54</v>
      </c>
      <c r="Q233" s="5">
        <v>0</v>
      </c>
      <c r="R233" s="5">
        <v>0</v>
      </c>
      <c r="S233" s="5" t="s">
        <v>7</v>
      </c>
      <c r="T233" s="5">
        <v>54</v>
      </c>
      <c r="U233" s="24" t="s">
        <v>607</v>
      </c>
      <c r="V233" s="5" t="s">
        <v>697</v>
      </c>
    </row>
    <row r="234" spans="1:22" x14ac:dyDescent="0.3">
      <c r="A234" s="5">
        <v>233</v>
      </c>
      <c r="B234" s="5" t="s">
        <v>38</v>
      </c>
      <c r="C234" s="5">
        <v>95111</v>
      </c>
      <c r="D234" s="5" t="str">
        <f>"497-13-061"</f>
        <v>497-13-061</v>
      </c>
      <c r="E234" s="5"/>
      <c r="F234" s="5" t="s">
        <v>33</v>
      </c>
      <c r="G234" s="22" t="s">
        <v>34</v>
      </c>
      <c r="H234" s="22">
        <v>0</v>
      </c>
      <c r="I234" s="5">
        <v>30</v>
      </c>
      <c r="J234" s="23">
        <v>0.55675787516163999</v>
      </c>
      <c r="K234" s="22" t="s">
        <v>580</v>
      </c>
      <c r="L234" s="5" t="s">
        <v>480</v>
      </c>
      <c r="M234" s="5" t="s">
        <v>482</v>
      </c>
      <c r="N234" s="5" t="s">
        <v>481</v>
      </c>
      <c r="O234" s="5" t="s">
        <v>483</v>
      </c>
      <c r="P234" s="5">
        <v>0</v>
      </c>
      <c r="Q234" s="5">
        <v>7</v>
      </c>
      <c r="R234" s="5">
        <v>0</v>
      </c>
      <c r="S234" s="5" t="s">
        <v>21</v>
      </c>
      <c r="T234" s="5">
        <v>7</v>
      </c>
      <c r="U234" s="24"/>
      <c r="V234" s="5" t="s">
        <v>613</v>
      </c>
    </row>
    <row r="235" spans="1:22" x14ac:dyDescent="0.3">
      <c r="A235" s="5">
        <v>234</v>
      </c>
      <c r="B235" s="5" t="s">
        <v>303</v>
      </c>
      <c r="C235" s="5">
        <v>95128</v>
      </c>
      <c r="D235" s="5" t="str">
        <f>"274-41-075"</f>
        <v>274-41-075</v>
      </c>
      <c r="E235" s="5"/>
      <c r="F235" s="5" t="s">
        <v>5</v>
      </c>
      <c r="G235" s="22" t="s">
        <v>508</v>
      </c>
      <c r="H235" s="22">
        <v>0</v>
      </c>
      <c r="I235" s="5">
        <v>0</v>
      </c>
      <c r="J235" s="23">
        <v>1.1335103204299399</v>
      </c>
      <c r="K235" s="22" t="s">
        <v>579</v>
      </c>
      <c r="L235" s="5" t="s">
        <v>480</v>
      </c>
      <c r="M235" s="5" t="s">
        <v>482</v>
      </c>
      <c r="N235" s="5" t="s">
        <v>481</v>
      </c>
      <c r="O235" s="5" t="s">
        <v>483</v>
      </c>
      <c r="P235" s="5">
        <v>92</v>
      </c>
      <c r="Q235" s="5">
        <v>0</v>
      </c>
      <c r="R235" s="5">
        <v>0</v>
      </c>
      <c r="S235" s="5" t="s">
        <v>7</v>
      </c>
      <c r="T235" s="5">
        <v>92</v>
      </c>
      <c r="U235" s="24"/>
      <c r="V235" s="5" t="s">
        <v>757</v>
      </c>
    </row>
    <row r="236" spans="1:22" x14ac:dyDescent="0.3">
      <c r="A236" s="5">
        <v>235</v>
      </c>
      <c r="B236" s="5" t="s">
        <v>108</v>
      </c>
      <c r="C236" s="5">
        <v>95128</v>
      </c>
      <c r="D236" s="5" t="str">
        <f>"282-11-022"</f>
        <v>282-11-022</v>
      </c>
      <c r="E236" s="5" t="s">
        <v>502</v>
      </c>
      <c r="F236" s="5" t="s">
        <v>9</v>
      </c>
      <c r="G236" s="22" t="s">
        <v>18</v>
      </c>
      <c r="H236" s="22">
        <v>0</v>
      </c>
      <c r="I236" s="5">
        <v>150</v>
      </c>
      <c r="J236" s="23">
        <v>0.81519334230673501</v>
      </c>
      <c r="K236" s="22" t="s">
        <v>576</v>
      </c>
      <c r="L236" s="5" t="s">
        <v>480</v>
      </c>
      <c r="M236" s="5" t="s">
        <v>482</v>
      </c>
      <c r="N236" s="5" t="s">
        <v>481</v>
      </c>
      <c r="O236" s="5" t="s">
        <v>483</v>
      </c>
      <c r="P236" s="5">
        <v>0</v>
      </c>
      <c r="Q236" s="5">
        <v>64</v>
      </c>
      <c r="R236" s="5">
        <v>0</v>
      </c>
      <c r="S236" s="5" t="s">
        <v>21</v>
      </c>
      <c r="T236" s="5">
        <v>64</v>
      </c>
      <c r="U236" s="24"/>
      <c r="V236" s="5" t="s">
        <v>654</v>
      </c>
    </row>
    <row r="237" spans="1:22" ht="28.8" x14ac:dyDescent="0.3">
      <c r="A237" s="5">
        <v>236</v>
      </c>
      <c r="B237" s="5" t="s">
        <v>309</v>
      </c>
      <c r="C237" s="5">
        <v>95125</v>
      </c>
      <c r="D237" s="5" t="str">
        <f>"284-17-024"</f>
        <v>284-17-024</v>
      </c>
      <c r="E237" s="5" t="s">
        <v>518</v>
      </c>
      <c r="F237" s="5" t="s">
        <v>5</v>
      </c>
      <c r="G237" s="22" t="s">
        <v>500</v>
      </c>
      <c r="H237" s="22">
        <v>0</v>
      </c>
      <c r="I237" s="5">
        <v>0</v>
      </c>
      <c r="J237" s="23">
        <v>1.7111562654569099</v>
      </c>
      <c r="K237" s="22" t="s">
        <v>576</v>
      </c>
      <c r="L237" s="5" t="s">
        <v>480</v>
      </c>
      <c r="M237" s="5" t="s">
        <v>482</v>
      </c>
      <c r="N237" s="5" t="s">
        <v>481</v>
      </c>
      <c r="O237" s="5" t="s">
        <v>483</v>
      </c>
      <c r="P237" s="5">
        <v>121</v>
      </c>
      <c r="Q237" s="5">
        <v>0</v>
      </c>
      <c r="R237" s="5">
        <v>0</v>
      </c>
      <c r="S237" s="5" t="s">
        <v>7</v>
      </c>
      <c r="T237" s="5">
        <v>121</v>
      </c>
      <c r="U237" s="24" t="s">
        <v>607</v>
      </c>
      <c r="V237" s="5" t="s">
        <v>760</v>
      </c>
    </row>
    <row r="238" spans="1:22" x14ac:dyDescent="0.3">
      <c r="A238" s="5">
        <v>237</v>
      </c>
      <c r="B238" s="5" t="s">
        <v>438</v>
      </c>
      <c r="C238" s="5">
        <v>95123</v>
      </c>
      <c r="D238" s="5" t="str">
        <f>"464-14-023"</f>
        <v>464-14-023</v>
      </c>
      <c r="E238" s="5" t="s">
        <v>521</v>
      </c>
      <c r="F238" s="5" t="s">
        <v>5</v>
      </c>
      <c r="G238" s="22" t="s">
        <v>508</v>
      </c>
      <c r="H238" s="22">
        <v>0</v>
      </c>
      <c r="I238" s="5">
        <v>0</v>
      </c>
      <c r="J238" s="23">
        <v>1.2222116894572099</v>
      </c>
      <c r="K238" s="22" t="s">
        <v>576</v>
      </c>
      <c r="L238" s="5" t="s">
        <v>480</v>
      </c>
      <c r="M238" s="5" t="s">
        <v>482</v>
      </c>
      <c r="N238" s="5" t="s">
        <v>481</v>
      </c>
      <c r="O238" s="5" t="s">
        <v>483</v>
      </c>
      <c r="P238" s="5">
        <v>87</v>
      </c>
      <c r="Q238" s="5">
        <v>0</v>
      </c>
      <c r="R238" s="5">
        <v>0</v>
      </c>
      <c r="S238" s="5" t="s">
        <v>7</v>
      </c>
      <c r="T238" s="5">
        <v>87</v>
      </c>
      <c r="U238" s="24" t="s">
        <v>595</v>
      </c>
      <c r="V238" s="5" t="s">
        <v>694</v>
      </c>
    </row>
    <row r="239" spans="1:22" x14ac:dyDescent="0.3">
      <c r="A239" s="5">
        <v>238</v>
      </c>
      <c r="B239" s="5" t="s">
        <v>135</v>
      </c>
      <c r="C239" s="5">
        <v>95129</v>
      </c>
      <c r="D239" s="5" t="str">
        <f>"296-27-005"</f>
        <v>296-27-005</v>
      </c>
      <c r="E239" s="5"/>
      <c r="F239" s="5" t="s">
        <v>29</v>
      </c>
      <c r="G239" s="22" t="s">
        <v>37</v>
      </c>
      <c r="H239" s="22">
        <v>0</v>
      </c>
      <c r="I239" s="5">
        <v>50</v>
      </c>
      <c r="J239" s="23">
        <v>0.60089232894907796</v>
      </c>
      <c r="K239" s="22" t="s">
        <v>576</v>
      </c>
      <c r="L239" s="5" t="s">
        <v>480</v>
      </c>
      <c r="M239" s="5" t="s">
        <v>482</v>
      </c>
      <c r="N239" s="5" t="s">
        <v>481</v>
      </c>
      <c r="O239" s="5" t="s">
        <v>483</v>
      </c>
      <c r="P239" s="5">
        <v>30</v>
      </c>
      <c r="Q239" s="5">
        <v>0</v>
      </c>
      <c r="R239" s="5">
        <v>0</v>
      </c>
      <c r="S239" s="5" t="s">
        <v>7</v>
      </c>
      <c r="T239" s="5">
        <v>30</v>
      </c>
      <c r="U239" s="24"/>
      <c r="V239" s="5" t="s">
        <v>672</v>
      </c>
    </row>
    <row r="240" spans="1:22" ht="28.8" x14ac:dyDescent="0.3">
      <c r="A240" s="5">
        <v>239</v>
      </c>
      <c r="B240" s="5" t="s">
        <v>72</v>
      </c>
      <c r="C240" s="5">
        <v>95008</v>
      </c>
      <c r="D240" s="5" t="str">
        <f>"412-25-011"</f>
        <v>412-25-011</v>
      </c>
      <c r="E240" s="5"/>
      <c r="F240" s="5" t="s">
        <v>5</v>
      </c>
      <c r="G240" s="22" t="s">
        <v>508</v>
      </c>
      <c r="H240" s="22">
        <v>0</v>
      </c>
      <c r="I240" s="5">
        <v>0</v>
      </c>
      <c r="J240" s="23">
        <v>0.75014822915367096</v>
      </c>
      <c r="K240" s="22" t="s">
        <v>576</v>
      </c>
      <c r="L240" s="5" t="s">
        <v>480</v>
      </c>
      <c r="M240" s="5" t="s">
        <v>482</v>
      </c>
      <c r="N240" s="5" t="s">
        <v>481</v>
      </c>
      <c r="O240" s="5" t="s">
        <v>483</v>
      </c>
      <c r="P240" s="5">
        <v>48</v>
      </c>
      <c r="Q240" s="5">
        <v>0</v>
      </c>
      <c r="R240" s="5">
        <v>0</v>
      </c>
      <c r="S240" s="5" t="s">
        <v>7</v>
      </c>
      <c r="T240" s="5">
        <v>48</v>
      </c>
      <c r="U240" s="24" t="s">
        <v>607</v>
      </c>
      <c r="V240" s="5" t="s">
        <v>629</v>
      </c>
    </row>
    <row r="241" spans="1:22" x14ac:dyDescent="0.3">
      <c r="A241" s="5">
        <v>240</v>
      </c>
      <c r="B241" s="5" t="s">
        <v>289</v>
      </c>
      <c r="C241" s="5">
        <v>95126</v>
      </c>
      <c r="D241" s="5" t="str">
        <f>"261-02-060"</f>
        <v>261-02-060</v>
      </c>
      <c r="E241" s="5"/>
      <c r="F241" s="5" t="s">
        <v>9</v>
      </c>
      <c r="G241" s="22" t="s">
        <v>18</v>
      </c>
      <c r="H241" s="22">
        <v>55</v>
      </c>
      <c r="I241" s="5">
        <v>250</v>
      </c>
      <c r="J241" s="23">
        <v>0.67238497343625203</v>
      </c>
      <c r="K241" s="22" t="s">
        <v>576</v>
      </c>
      <c r="L241" s="5" t="s">
        <v>480</v>
      </c>
      <c r="M241" s="5" t="s">
        <v>482</v>
      </c>
      <c r="N241" s="5" t="s">
        <v>481</v>
      </c>
      <c r="O241" s="5" t="s">
        <v>483</v>
      </c>
      <c r="P241" s="5">
        <v>75</v>
      </c>
      <c r="Q241" s="5">
        <v>0</v>
      </c>
      <c r="R241" s="5">
        <v>0</v>
      </c>
      <c r="S241" s="5" t="s">
        <v>7</v>
      </c>
      <c r="T241" s="5">
        <v>75</v>
      </c>
      <c r="U241" s="24" t="s">
        <v>595</v>
      </c>
      <c r="V241" s="5" t="s">
        <v>683</v>
      </c>
    </row>
    <row r="242" spans="1:22" x14ac:dyDescent="0.3">
      <c r="A242" s="5">
        <v>241</v>
      </c>
      <c r="B242" s="5" t="s">
        <v>358</v>
      </c>
      <c r="C242" s="5">
        <v>95112</v>
      </c>
      <c r="D242" s="5" t="str">
        <f>"467-14-082"</f>
        <v>467-14-082</v>
      </c>
      <c r="E242" s="5"/>
      <c r="F242" s="5" t="s">
        <v>29</v>
      </c>
      <c r="G242" s="22" t="s">
        <v>37</v>
      </c>
      <c r="H242" s="22">
        <v>0</v>
      </c>
      <c r="I242" s="5">
        <v>50</v>
      </c>
      <c r="J242" s="23">
        <v>2.2928315828931498</v>
      </c>
      <c r="K242" s="22" t="s">
        <v>582</v>
      </c>
      <c r="L242" s="5" t="s">
        <v>480</v>
      </c>
      <c r="M242" s="5" t="s">
        <v>482</v>
      </c>
      <c r="N242" s="5" t="s">
        <v>481</v>
      </c>
      <c r="O242" s="5" t="s">
        <v>483</v>
      </c>
      <c r="P242" s="5">
        <v>115</v>
      </c>
      <c r="Q242" s="5">
        <v>0</v>
      </c>
      <c r="R242" s="5">
        <v>0</v>
      </c>
      <c r="S242" s="5" t="s">
        <v>7</v>
      </c>
      <c r="T242" s="5">
        <v>115</v>
      </c>
      <c r="U242" s="24"/>
      <c r="V242" s="5" t="s">
        <v>816</v>
      </c>
    </row>
    <row r="243" spans="1:22" x14ac:dyDescent="0.3">
      <c r="A243" s="5">
        <v>242</v>
      </c>
      <c r="B243" s="5" t="s">
        <v>356</v>
      </c>
      <c r="C243" s="5">
        <v>95116</v>
      </c>
      <c r="D243" s="5" t="str">
        <f>"467-11-028"</f>
        <v>467-11-028</v>
      </c>
      <c r="E243" s="5" t="s">
        <v>553</v>
      </c>
      <c r="F243" s="5" t="s">
        <v>9</v>
      </c>
      <c r="G243" s="22" t="s">
        <v>18</v>
      </c>
      <c r="H243" s="22">
        <v>0</v>
      </c>
      <c r="I243" s="5">
        <v>0</v>
      </c>
      <c r="J243" s="23">
        <v>0.51136471979620401</v>
      </c>
      <c r="K243" s="22" t="s">
        <v>581</v>
      </c>
      <c r="L243" s="5" t="s">
        <v>480</v>
      </c>
      <c r="M243" s="5" t="s">
        <v>482</v>
      </c>
      <c r="N243" s="5" t="s">
        <v>481</v>
      </c>
      <c r="O243" s="5" t="s">
        <v>483</v>
      </c>
      <c r="P243" s="5">
        <v>60</v>
      </c>
      <c r="Q243" s="5">
        <v>0</v>
      </c>
      <c r="R243" s="5">
        <v>0</v>
      </c>
      <c r="S243" s="5" t="s">
        <v>7</v>
      </c>
      <c r="T243" s="5">
        <v>60</v>
      </c>
      <c r="U243" s="24"/>
      <c r="V243" s="5" t="s">
        <v>647</v>
      </c>
    </row>
    <row r="244" spans="1:22" x14ac:dyDescent="0.3">
      <c r="A244" s="5">
        <v>243</v>
      </c>
      <c r="B244" s="5" t="s">
        <v>78</v>
      </c>
      <c r="C244" s="5">
        <v>95112</v>
      </c>
      <c r="D244" s="5" t="str">
        <f>"467-14-001"</f>
        <v>467-14-001</v>
      </c>
      <c r="E244" s="5"/>
      <c r="F244" s="5" t="s">
        <v>29</v>
      </c>
      <c r="G244" s="22" t="s">
        <v>37</v>
      </c>
      <c r="H244" s="22">
        <v>0</v>
      </c>
      <c r="I244" s="5">
        <v>50</v>
      </c>
      <c r="J244" s="23">
        <v>8.6817619288665701E-2</v>
      </c>
      <c r="K244" s="22" t="s">
        <v>582</v>
      </c>
      <c r="L244" s="5" t="s">
        <v>480</v>
      </c>
      <c r="M244" s="5" t="s">
        <v>482</v>
      </c>
      <c r="N244" s="5" t="s">
        <v>481</v>
      </c>
      <c r="O244" s="5" t="s">
        <v>483</v>
      </c>
      <c r="P244" s="5">
        <v>4</v>
      </c>
      <c r="Q244" s="5">
        <v>0</v>
      </c>
      <c r="R244" s="5">
        <v>0</v>
      </c>
      <c r="S244" s="5" t="s">
        <v>7</v>
      </c>
      <c r="T244" s="5">
        <v>4</v>
      </c>
      <c r="U244" s="24"/>
      <c r="V244" s="5" t="s">
        <v>816</v>
      </c>
    </row>
    <row r="245" spans="1:22" x14ac:dyDescent="0.3">
      <c r="A245" s="5">
        <v>244</v>
      </c>
      <c r="B245" s="5" t="s">
        <v>398</v>
      </c>
      <c r="C245" s="5">
        <v>95134</v>
      </c>
      <c r="D245" s="5" t="str">
        <f>"097-53-007"</f>
        <v>097-53-007</v>
      </c>
      <c r="E245" s="5" t="s">
        <v>562</v>
      </c>
      <c r="F245" s="5" t="s">
        <v>46</v>
      </c>
      <c r="G245" s="22" t="s">
        <v>578</v>
      </c>
      <c r="H245" s="22">
        <v>0</v>
      </c>
      <c r="I245" s="5">
        <v>0</v>
      </c>
      <c r="J245" s="23">
        <v>5.05460846379414</v>
      </c>
      <c r="K245" s="22" t="s">
        <v>580</v>
      </c>
      <c r="L245" s="5" t="s">
        <v>480</v>
      </c>
      <c r="M245" s="5" t="s">
        <v>482</v>
      </c>
      <c r="N245" s="5" t="s">
        <v>481</v>
      </c>
      <c r="O245" s="5" t="s">
        <v>483</v>
      </c>
      <c r="P245" s="5">
        <v>379</v>
      </c>
      <c r="Q245" s="5">
        <v>0</v>
      </c>
      <c r="R245" s="5">
        <v>0</v>
      </c>
      <c r="S245" s="5" t="s">
        <v>7</v>
      </c>
      <c r="T245" s="5">
        <v>379</v>
      </c>
      <c r="U245" s="24" t="s">
        <v>599</v>
      </c>
      <c r="V245" s="5" t="s">
        <v>792</v>
      </c>
    </row>
    <row r="246" spans="1:22" x14ac:dyDescent="0.3">
      <c r="A246" s="5">
        <v>245</v>
      </c>
      <c r="B246" s="5" t="s">
        <v>78</v>
      </c>
      <c r="C246" s="5">
        <v>95125</v>
      </c>
      <c r="D246" s="5" t="str">
        <f>"456-09-017"</f>
        <v>456-09-017</v>
      </c>
      <c r="E246" s="5" t="s">
        <v>569</v>
      </c>
      <c r="F246" s="5" t="s">
        <v>50</v>
      </c>
      <c r="G246" s="22" t="s">
        <v>96</v>
      </c>
      <c r="H246" s="22">
        <v>30</v>
      </c>
      <c r="I246" s="5">
        <v>95</v>
      </c>
      <c r="J246" s="23">
        <v>0.99573194265339304</v>
      </c>
      <c r="K246" s="22" t="s">
        <v>577</v>
      </c>
      <c r="L246" s="5" t="s">
        <v>480</v>
      </c>
      <c r="M246" s="5" t="s">
        <v>845</v>
      </c>
      <c r="N246" s="5" t="s">
        <v>481</v>
      </c>
      <c r="O246" s="5" t="s">
        <v>483</v>
      </c>
      <c r="P246" s="5">
        <v>95</v>
      </c>
      <c r="Q246" s="5">
        <v>0</v>
      </c>
      <c r="R246" s="5">
        <v>0</v>
      </c>
      <c r="S246" s="5" t="s">
        <v>7</v>
      </c>
      <c r="T246" s="5">
        <v>95</v>
      </c>
      <c r="U246" s="24"/>
      <c r="V246" s="5" t="s">
        <v>825</v>
      </c>
    </row>
    <row r="247" spans="1:22" ht="28.8" x14ac:dyDescent="0.3">
      <c r="A247" s="5">
        <v>246</v>
      </c>
      <c r="B247" s="5" t="s">
        <v>124</v>
      </c>
      <c r="C247" s="5">
        <v>95125</v>
      </c>
      <c r="D247" s="5" t="str">
        <f>"284-18-011"</f>
        <v>284-18-011</v>
      </c>
      <c r="E247" s="5"/>
      <c r="F247" s="5" t="s">
        <v>5</v>
      </c>
      <c r="G247" s="22" t="s">
        <v>508</v>
      </c>
      <c r="H247" s="22">
        <v>0</v>
      </c>
      <c r="I247" s="5">
        <v>0</v>
      </c>
      <c r="J247" s="23">
        <v>1.4291806059457599</v>
      </c>
      <c r="K247" s="22" t="s">
        <v>576</v>
      </c>
      <c r="L247" s="5" t="s">
        <v>480</v>
      </c>
      <c r="M247" s="5" t="s">
        <v>482</v>
      </c>
      <c r="N247" s="5" t="s">
        <v>481</v>
      </c>
      <c r="O247" s="5" t="s">
        <v>483</v>
      </c>
      <c r="P247" s="5">
        <v>96</v>
      </c>
      <c r="Q247" s="5">
        <v>0</v>
      </c>
      <c r="R247" s="5">
        <v>0</v>
      </c>
      <c r="S247" s="5" t="s">
        <v>7</v>
      </c>
      <c r="T247" s="5">
        <v>96</v>
      </c>
      <c r="U247" s="24" t="s">
        <v>607</v>
      </c>
      <c r="V247" s="5" t="s">
        <v>667</v>
      </c>
    </row>
    <row r="248" spans="1:22" ht="28.8" x14ac:dyDescent="0.3">
      <c r="A248" s="5">
        <v>247</v>
      </c>
      <c r="B248" s="5" t="s">
        <v>346</v>
      </c>
      <c r="C248" s="5">
        <v>95129</v>
      </c>
      <c r="D248" s="5" t="str">
        <f>"372-25-C01"</f>
        <v>372-25-C01</v>
      </c>
      <c r="E248" s="5" t="s">
        <v>515</v>
      </c>
      <c r="F248" s="5" t="s">
        <v>5</v>
      </c>
      <c r="G248" s="22" t="s">
        <v>508</v>
      </c>
      <c r="H248" s="22">
        <v>0</v>
      </c>
      <c r="I248" s="5">
        <v>0</v>
      </c>
      <c r="J248" s="23">
        <v>0.74929451323730301</v>
      </c>
      <c r="K248" s="22" t="s">
        <v>576</v>
      </c>
      <c r="L248" s="5" t="s">
        <v>480</v>
      </c>
      <c r="M248" s="5" t="s">
        <v>482</v>
      </c>
      <c r="N248" s="5" t="s">
        <v>481</v>
      </c>
      <c r="O248" s="5" t="s">
        <v>483</v>
      </c>
      <c r="P248" s="5">
        <v>62</v>
      </c>
      <c r="Q248" s="5">
        <v>0</v>
      </c>
      <c r="R248" s="5">
        <v>0</v>
      </c>
      <c r="S248" s="5" t="s">
        <v>7</v>
      </c>
      <c r="T248" s="5">
        <v>62</v>
      </c>
      <c r="U248" s="24" t="s">
        <v>607</v>
      </c>
      <c r="V248" s="5" t="s">
        <v>778</v>
      </c>
    </row>
    <row r="249" spans="1:22" x14ac:dyDescent="0.3">
      <c r="A249" s="5">
        <v>248</v>
      </c>
      <c r="B249" s="5" t="s">
        <v>107</v>
      </c>
      <c r="C249" s="5">
        <v>95128</v>
      </c>
      <c r="D249" s="5" t="str">
        <f>"282-11-021"</f>
        <v>282-11-021</v>
      </c>
      <c r="E249" s="5" t="s">
        <v>502</v>
      </c>
      <c r="F249" s="5" t="s">
        <v>9</v>
      </c>
      <c r="G249" s="22" t="s">
        <v>18</v>
      </c>
      <c r="H249" s="22">
        <v>0</v>
      </c>
      <c r="I249" s="5">
        <v>150</v>
      </c>
      <c r="J249" s="23">
        <v>0.75424942986709798</v>
      </c>
      <c r="K249" s="22" t="s">
        <v>576</v>
      </c>
      <c r="L249" s="5" t="s">
        <v>480</v>
      </c>
      <c r="M249" s="5" t="s">
        <v>482</v>
      </c>
      <c r="N249" s="5" t="s">
        <v>481</v>
      </c>
      <c r="O249" s="5" t="s">
        <v>483</v>
      </c>
      <c r="P249" s="5">
        <v>0</v>
      </c>
      <c r="Q249" s="5">
        <v>53</v>
      </c>
      <c r="R249" s="5">
        <v>0</v>
      </c>
      <c r="S249" s="5" t="s">
        <v>21</v>
      </c>
      <c r="T249" s="5">
        <v>53</v>
      </c>
      <c r="U249" s="24"/>
      <c r="V249" s="5" t="s">
        <v>653</v>
      </c>
    </row>
    <row r="250" spans="1:22" ht="28.8" x14ac:dyDescent="0.3">
      <c r="A250" s="5">
        <v>249</v>
      </c>
      <c r="B250" s="5" t="s">
        <v>169</v>
      </c>
      <c r="C250" s="5">
        <v>95129</v>
      </c>
      <c r="D250" s="5" t="str">
        <f>"359-27-028"</f>
        <v>359-27-028</v>
      </c>
      <c r="E250" s="5"/>
      <c r="F250" s="5" t="s">
        <v>5</v>
      </c>
      <c r="G250" s="22" t="s">
        <v>508</v>
      </c>
      <c r="H250" s="22">
        <v>0</v>
      </c>
      <c r="I250" s="5">
        <v>0</v>
      </c>
      <c r="J250" s="23">
        <v>0.82612465419618697</v>
      </c>
      <c r="K250" s="22" t="s">
        <v>576</v>
      </c>
      <c r="L250" s="5" t="s">
        <v>480</v>
      </c>
      <c r="M250" s="5" t="s">
        <v>482</v>
      </c>
      <c r="N250" s="5" t="s">
        <v>481</v>
      </c>
      <c r="O250" s="5" t="s">
        <v>483</v>
      </c>
      <c r="P250" s="5">
        <v>53</v>
      </c>
      <c r="Q250" s="5">
        <v>0</v>
      </c>
      <c r="R250" s="5">
        <v>0</v>
      </c>
      <c r="S250" s="5" t="s">
        <v>7</v>
      </c>
      <c r="T250" s="5">
        <v>53</v>
      </c>
      <c r="U250" s="24" t="s">
        <v>607</v>
      </c>
      <c r="V250" s="5" t="s">
        <v>698</v>
      </c>
    </row>
    <row r="251" spans="1:22" ht="28.8" x14ac:dyDescent="0.3">
      <c r="A251" s="5">
        <v>250</v>
      </c>
      <c r="B251" s="5" t="s">
        <v>78</v>
      </c>
      <c r="C251" s="5">
        <v>95124</v>
      </c>
      <c r="D251" s="5" t="str">
        <f>"414-24-037"</f>
        <v>414-24-037</v>
      </c>
      <c r="E251" s="5" t="s">
        <v>496</v>
      </c>
      <c r="F251" s="5" t="s">
        <v>5</v>
      </c>
      <c r="G251" s="22" t="s">
        <v>500</v>
      </c>
      <c r="H251" s="22">
        <v>0</v>
      </c>
      <c r="I251" s="5">
        <v>0</v>
      </c>
      <c r="J251" s="23">
        <v>0.19669105439273199</v>
      </c>
      <c r="K251" s="22" t="s">
        <v>582</v>
      </c>
      <c r="L251" s="5" t="s">
        <v>480</v>
      </c>
      <c r="M251" s="5" t="s">
        <v>482</v>
      </c>
      <c r="N251" s="5" t="s">
        <v>481</v>
      </c>
      <c r="O251" s="5" t="s">
        <v>483</v>
      </c>
      <c r="P251" s="5">
        <v>13</v>
      </c>
      <c r="Q251" s="5">
        <v>0</v>
      </c>
      <c r="R251" s="5">
        <v>0</v>
      </c>
      <c r="S251" s="5" t="s">
        <v>7</v>
      </c>
      <c r="T251" s="5">
        <v>13</v>
      </c>
      <c r="U251" s="24" t="s">
        <v>607</v>
      </c>
      <c r="V251" s="5" t="s">
        <v>634</v>
      </c>
    </row>
    <row r="252" spans="1:22" x14ac:dyDescent="0.3">
      <c r="A252" s="5">
        <v>251</v>
      </c>
      <c r="B252" s="5" t="s">
        <v>426</v>
      </c>
      <c r="C252" s="5">
        <v>95134</v>
      </c>
      <c r="D252" s="5" t="str">
        <f>"101-29-007"</f>
        <v>101-29-007</v>
      </c>
      <c r="E252" s="5" t="s">
        <v>567</v>
      </c>
      <c r="F252" s="5" t="s">
        <v>14</v>
      </c>
      <c r="G252" s="22" t="s">
        <v>586</v>
      </c>
      <c r="H252" s="22">
        <v>0</v>
      </c>
      <c r="I252" s="5">
        <v>0</v>
      </c>
      <c r="J252" s="23">
        <v>4.0991524930496501</v>
      </c>
      <c r="K252" s="22" t="s">
        <v>580</v>
      </c>
      <c r="L252" s="5" t="s">
        <v>480</v>
      </c>
      <c r="M252" s="5" t="s">
        <v>482</v>
      </c>
      <c r="N252" s="5" t="s">
        <v>481</v>
      </c>
      <c r="O252" s="5" t="s">
        <v>483</v>
      </c>
      <c r="P252" s="25">
        <v>76.75</v>
      </c>
      <c r="Q252" s="5">
        <v>0</v>
      </c>
      <c r="R252" s="25">
        <v>230.25</v>
      </c>
      <c r="S252" s="5" t="s">
        <v>15</v>
      </c>
      <c r="T252" s="5">
        <v>307</v>
      </c>
      <c r="U252" s="24" t="s">
        <v>599</v>
      </c>
      <c r="V252" s="5" t="s">
        <v>801</v>
      </c>
    </row>
    <row r="253" spans="1:22" x14ac:dyDescent="0.3">
      <c r="A253" s="5">
        <v>252</v>
      </c>
      <c r="B253" s="5" t="s">
        <v>429</v>
      </c>
      <c r="C253" s="5">
        <v>95134</v>
      </c>
      <c r="D253" s="5" t="str">
        <f>"101-29-010"</f>
        <v>101-29-010</v>
      </c>
      <c r="E253" s="5" t="s">
        <v>568</v>
      </c>
      <c r="F253" s="5" t="s">
        <v>14</v>
      </c>
      <c r="G253" s="22" t="s">
        <v>586</v>
      </c>
      <c r="H253" s="22">
        <v>0</v>
      </c>
      <c r="I253" s="5">
        <v>0</v>
      </c>
      <c r="J253" s="23">
        <v>6.3197680176034101</v>
      </c>
      <c r="K253" s="22" t="s">
        <v>580</v>
      </c>
      <c r="L253" s="5" t="s">
        <v>480</v>
      </c>
      <c r="M253" s="5" t="s">
        <v>482</v>
      </c>
      <c r="N253" s="5" t="s">
        <v>481</v>
      </c>
      <c r="O253" s="5" t="s">
        <v>483</v>
      </c>
      <c r="P253" s="25">
        <v>118.5</v>
      </c>
      <c r="Q253" s="5">
        <v>0</v>
      </c>
      <c r="R253" s="25">
        <v>355.5</v>
      </c>
      <c r="S253" s="5" t="s">
        <v>15</v>
      </c>
      <c r="T253" s="5">
        <v>474</v>
      </c>
      <c r="U253" s="24" t="s">
        <v>599</v>
      </c>
      <c r="V253" s="5" t="s">
        <v>802</v>
      </c>
    </row>
    <row r="254" spans="1:22" x14ac:dyDescent="0.3">
      <c r="A254" s="5">
        <v>253</v>
      </c>
      <c r="B254" s="5" t="s">
        <v>428</v>
      </c>
      <c r="C254" s="5">
        <v>95134</v>
      </c>
      <c r="D254" s="5" t="str">
        <f>"101-29-006"</f>
        <v>101-29-006</v>
      </c>
      <c r="E254" s="5" t="s">
        <v>566</v>
      </c>
      <c r="F254" s="5" t="s">
        <v>14</v>
      </c>
      <c r="G254" s="22" t="s">
        <v>586</v>
      </c>
      <c r="H254" s="22">
        <v>0</v>
      </c>
      <c r="I254" s="5">
        <v>0</v>
      </c>
      <c r="J254" s="23">
        <v>6.4636064916774796</v>
      </c>
      <c r="K254" s="22" t="s">
        <v>576</v>
      </c>
      <c r="L254" s="5" t="s">
        <v>480</v>
      </c>
      <c r="M254" s="5" t="s">
        <v>482</v>
      </c>
      <c r="N254" s="5" t="s">
        <v>481</v>
      </c>
      <c r="O254" s="5" t="s">
        <v>483</v>
      </c>
      <c r="P254" s="25">
        <v>125</v>
      </c>
      <c r="Q254" s="5">
        <v>0</v>
      </c>
      <c r="R254" s="25">
        <v>375</v>
      </c>
      <c r="S254" s="5" t="s">
        <v>15</v>
      </c>
      <c r="T254" s="5">
        <v>500</v>
      </c>
      <c r="U254" s="24" t="s">
        <v>599</v>
      </c>
      <c r="V254" s="5" t="s">
        <v>802</v>
      </c>
    </row>
    <row r="255" spans="1:22" x14ac:dyDescent="0.3">
      <c r="A255" s="5">
        <v>254</v>
      </c>
      <c r="B255" s="5" t="s">
        <v>427</v>
      </c>
      <c r="C255" s="5">
        <v>95134</v>
      </c>
      <c r="D255" s="5" t="str">
        <f>"101-29-011"</f>
        <v>101-29-011</v>
      </c>
      <c r="E255" s="5" t="s">
        <v>568</v>
      </c>
      <c r="F255" s="5" t="s">
        <v>14</v>
      </c>
      <c r="G255" s="22" t="s">
        <v>586</v>
      </c>
      <c r="H255" s="22">
        <v>0</v>
      </c>
      <c r="I255" s="5">
        <v>0</v>
      </c>
      <c r="J255" s="23">
        <v>5.4068996160318799</v>
      </c>
      <c r="K255" s="22" t="s">
        <v>580</v>
      </c>
      <c r="L255" s="5" t="s">
        <v>480</v>
      </c>
      <c r="M255" s="5" t="s">
        <v>482</v>
      </c>
      <c r="N255" s="5" t="s">
        <v>481</v>
      </c>
      <c r="O255" s="5" t="s">
        <v>483</v>
      </c>
      <c r="P255" s="25">
        <v>101.5</v>
      </c>
      <c r="Q255" s="5">
        <v>0</v>
      </c>
      <c r="R255" s="25">
        <v>304.5</v>
      </c>
      <c r="S255" s="5" t="s">
        <v>15</v>
      </c>
      <c r="T255" s="5">
        <v>406</v>
      </c>
      <c r="U255" s="24" t="s">
        <v>599</v>
      </c>
      <c r="V255" s="5" t="s">
        <v>802</v>
      </c>
    </row>
    <row r="256" spans="1:22" x14ac:dyDescent="0.3">
      <c r="A256" s="5">
        <v>255</v>
      </c>
      <c r="B256" s="5" t="s">
        <v>424</v>
      </c>
      <c r="C256" s="5">
        <v>95134</v>
      </c>
      <c r="D256" s="5" t="str">
        <f>"101-30-006"</f>
        <v>101-30-006</v>
      </c>
      <c r="E256" s="5"/>
      <c r="F256" s="5" t="s">
        <v>14</v>
      </c>
      <c r="G256" s="22" t="s">
        <v>586</v>
      </c>
      <c r="H256" s="22">
        <v>0</v>
      </c>
      <c r="I256" s="5">
        <v>0</v>
      </c>
      <c r="J256" s="23">
        <v>22.807472996902799</v>
      </c>
      <c r="K256" s="22" t="s">
        <v>576</v>
      </c>
      <c r="L256" s="5" t="s">
        <v>480</v>
      </c>
      <c r="M256" s="5" t="s">
        <v>482</v>
      </c>
      <c r="N256" s="5" t="s">
        <v>481</v>
      </c>
      <c r="O256" s="5" t="s">
        <v>483</v>
      </c>
      <c r="P256" s="25">
        <v>465.5</v>
      </c>
      <c r="Q256" s="5">
        <v>0</v>
      </c>
      <c r="R256" s="25">
        <v>1396.5</v>
      </c>
      <c r="S256" s="5" t="s">
        <v>15</v>
      </c>
      <c r="T256" s="5">
        <v>1862</v>
      </c>
      <c r="U256" s="24" t="s">
        <v>599</v>
      </c>
      <c r="V256" s="5" t="s">
        <v>797</v>
      </c>
    </row>
    <row r="257" spans="1:22" x14ac:dyDescent="0.3">
      <c r="A257" s="5">
        <v>256</v>
      </c>
      <c r="B257" s="5" t="s">
        <v>425</v>
      </c>
      <c r="C257" s="5">
        <v>95134</v>
      </c>
      <c r="D257" s="5" t="str">
        <f>"101-29-005"</f>
        <v>101-29-005</v>
      </c>
      <c r="E257" s="5" t="s">
        <v>566</v>
      </c>
      <c r="F257" s="5" t="s">
        <v>14</v>
      </c>
      <c r="G257" s="22" t="s">
        <v>586</v>
      </c>
      <c r="H257" s="22">
        <v>0</v>
      </c>
      <c r="I257" s="5">
        <v>0</v>
      </c>
      <c r="J257" s="23">
        <v>9.2367690513931908</v>
      </c>
      <c r="K257" s="22" t="s">
        <v>580</v>
      </c>
      <c r="L257" s="5" t="s">
        <v>480</v>
      </c>
      <c r="M257" s="5" t="s">
        <v>482</v>
      </c>
      <c r="N257" s="5" t="s">
        <v>481</v>
      </c>
      <c r="O257" s="5" t="s">
        <v>483</v>
      </c>
      <c r="P257" s="25">
        <v>173.25</v>
      </c>
      <c r="Q257" s="5">
        <v>0</v>
      </c>
      <c r="R257" s="25">
        <v>519.75</v>
      </c>
      <c r="S257" s="5" t="s">
        <v>15</v>
      </c>
      <c r="T257" s="5">
        <v>693</v>
      </c>
      <c r="U257" s="24" t="s">
        <v>599</v>
      </c>
      <c r="V257" s="5" t="s">
        <v>801</v>
      </c>
    </row>
    <row r="258" spans="1:22" x14ac:dyDescent="0.3">
      <c r="A258" s="5">
        <v>257</v>
      </c>
      <c r="B258" s="5" t="s">
        <v>423</v>
      </c>
      <c r="C258" s="5">
        <v>95134</v>
      </c>
      <c r="D258" s="5" t="str">
        <f>"101-30-004"</f>
        <v>101-30-004</v>
      </c>
      <c r="E258" s="5"/>
      <c r="F258" s="5" t="s">
        <v>14</v>
      </c>
      <c r="G258" s="22" t="s">
        <v>586</v>
      </c>
      <c r="H258" s="22">
        <v>0</v>
      </c>
      <c r="I258" s="5">
        <v>0</v>
      </c>
      <c r="J258" s="23">
        <v>15.5978086377589</v>
      </c>
      <c r="K258" s="22" t="s">
        <v>580</v>
      </c>
      <c r="L258" s="5" t="s">
        <v>480</v>
      </c>
      <c r="M258" s="5" t="s">
        <v>482</v>
      </c>
      <c r="N258" s="5" t="s">
        <v>481</v>
      </c>
      <c r="O258" s="5" t="s">
        <v>483</v>
      </c>
      <c r="P258" s="25">
        <v>346.5</v>
      </c>
      <c r="Q258" s="5">
        <v>0</v>
      </c>
      <c r="R258" s="25">
        <v>1039.5</v>
      </c>
      <c r="S258" s="5" t="s">
        <v>15</v>
      </c>
      <c r="T258" s="5">
        <v>1386</v>
      </c>
      <c r="U258" s="24" t="s">
        <v>599</v>
      </c>
      <c r="V258" s="5" t="s">
        <v>784</v>
      </c>
    </row>
    <row r="259" spans="1:22" ht="28.8" x14ac:dyDescent="0.3">
      <c r="A259" s="5">
        <v>258</v>
      </c>
      <c r="B259" s="5" t="s">
        <v>413</v>
      </c>
      <c r="C259" s="5">
        <v>95134</v>
      </c>
      <c r="D259" s="5" t="str">
        <f>"097-06-032"</f>
        <v>097-06-032</v>
      </c>
      <c r="E259" s="5"/>
      <c r="F259" s="5" t="s">
        <v>46</v>
      </c>
      <c r="G259" s="22" t="s">
        <v>578</v>
      </c>
      <c r="H259" s="22">
        <v>0</v>
      </c>
      <c r="I259" s="5">
        <v>0</v>
      </c>
      <c r="J259" s="23">
        <v>17.7106649806836</v>
      </c>
      <c r="K259" s="22" t="s">
        <v>576</v>
      </c>
      <c r="L259" s="5" t="s">
        <v>480</v>
      </c>
      <c r="M259" s="5" t="s">
        <v>482</v>
      </c>
      <c r="N259" s="5" t="s">
        <v>481</v>
      </c>
      <c r="O259" s="5" t="s">
        <v>483</v>
      </c>
      <c r="P259" s="25">
        <v>335.5</v>
      </c>
      <c r="Q259" s="5">
        <v>0</v>
      </c>
      <c r="R259" s="25">
        <v>1006.5</v>
      </c>
      <c r="S259" s="5" t="s">
        <v>15</v>
      </c>
      <c r="T259" s="5">
        <v>1342</v>
      </c>
      <c r="U259" s="24" t="s">
        <v>617</v>
      </c>
      <c r="V259" s="5" t="s">
        <v>795</v>
      </c>
    </row>
    <row r="260" spans="1:22" x14ac:dyDescent="0.3">
      <c r="A260" s="5">
        <v>259</v>
      </c>
      <c r="B260" s="5" t="s">
        <v>421</v>
      </c>
      <c r="C260" s="5">
        <v>95134</v>
      </c>
      <c r="D260" s="5" t="str">
        <f>"097-07-040"</f>
        <v>097-07-040</v>
      </c>
      <c r="E260" s="5" t="s">
        <v>564</v>
      </c>
      <c r="F260" s="5" t="s">
        <v>46</v>
      </c>
      <c r="G260" s="22" t="s">
        <v>578</v>
      </c>
      <c r="H260" s="22">
        <v>0</v>
      </c>
      <c r="I260" s="5">
        <v>0</v>
      </c>
      <c r="J260" s="23">
        <v>6.3326876474892204</v>
      </c>
      <c r="K260" s="22" t="s">
        <v>580</v>
      </c>
      <c r="L260" s="5" t="s">
        <v>480</v>
      </c>
      <c r="M260" s="5" t="s">
        <v>482</v>
      </c>
      <c r="N260" s="5" t="s">
        <v>481</v>
      </c>
      <c r="O260" s="5" t="s">
        <v>483</v>
      </c>
      <c r="P260" s="25">
        <v>125.5</v>
      </c>
      <c r="Q260" s="5">
        <v>0</v>
      </c>
      <c r="R260" s="25">
        <v>376.5</v>
      </c>
      <c r="S260" s="5" t="s">
        <v>15</v>
      </c>
      <c r="T260" s="5">
        <v>502</v>
      </c>
      <c r="U260" s="24"/>
      <c r="V260" s="5" t="s">
        <v>596</v>
      </c>
    </row>
    <row r="261" spans="1:22" x14ac:dyDescent="0.3">
      <c r="A261" s="5">
        <v>260</v>
      </c>
      <c r="B261" s="5" t="s">
        <v>399</v>
      </c>
      <c r="C261" s="5">
        <v>95134</v>
      </c>
      <c r="D261" s="5" t="str">
        <f>"097-53-008"</f>
        <v>097-53-008</v>
      </c>
      <c r="E261" s="5" t="s">
        <v>562</v>
      </c>
      <c r="F261" s="5" t="s">
        <v>46</v>
      </c>
      <c r="G261" s="22" t="s">
        <v>578</v>
      </c>
      <c r="H261" s="22">
        <v>0</v>
      </c>
      <c r="I261" s="5">
        <v>0</v>
      </c>
      <c r="J261" s="23">
        <v>4.2774501534918903</v>
      </c>
      <c r="K261" s="22" t="s">
        <v>580</v>
      </c>
      <c r="L261" s="5" t="s">
        <v>480</v>
      </c>
      <c r="M261" s="5" t="s">
        <v>482</v>
      </c>
      <c r="N261" s="5" t="s">
        <v>481</v>
      </c>
      <c r="O261" s="5" t="s">
        <v>483</v>
      </c>
      <c r="P261" s="25">
        <v>101.5</v>
      </c>
      <c r="Q261" s="5">
        <v>0</v>
      </c>
      <c r="R261" s="25">
        <v>304.5</v>
      </c>
      <c r="S261" s="5" t="s">
        <v>15</v>
      </c>
      <c r="T261" s="5">
        <v>406</v>
      </c>
      <c r="U261" s="24" t="s">
        <v>595</v>
      </c>
      <c r="V261" s="5" t="s">
        <v>793</v>
      </c>
    </row>
    <row r="262" spans="1:22" x14ac:dyDescent="0.3">
      <c r="A262" s="5">
        <v>261</v>
      </c>
      <c r="B262" s="5" t="s">
        <v>78</v>
      </c>
      <c r="C262" s="5">
        <v>95133</v>
      </c>
      <c r="D262" s="5" t="str">
        <f>"254-17-113"</f>
        <v>254-17-113</v>
      </c>
      <c r="E262" s="5"/>
      <c r="F262" s="5" t="s">
        <v>9</v>
      </c>
      <c r="G262" s="22" t="s">
        <v>18</v>
      </c>
      <c r="H262" s="22">
        <v>75</v>
      </c>
      <c r="I262" s="5">
        <v>300</v>
      </c>
      <c r="J262" s="23">
        <v>3.2360151342600698</v>
      </c>
      <c r="K262" s="22" t="s">
        <v>577</v>
      </c>
      <c r="L262" s="5" t="s">
        <v>480</v>
      </c>
      <c r="M262" s="5" t="s">
        <v>482</v>
      </c>
      <c r="N262" s="5" t="s">
        <v>481</v>
      </c>
      <c r="O262" s="5" t="s">
        <v>483</v>
      </c>
      <c r="P262" s="25">
        <v>44.5</v>
      </c>
      <c r="Q262" s="5">
        <v>0</v>
      </c>
      <c r="R262" s="25">
        <v>133.5</v>
      </c>
      <c r="S262" s="5" t="s">
        <v>15</v>
      </c>
      <c r="T262" s="5">
        <v>178</v>
      </c>
      <c r="U262" s="24"/>
      <c r="V262" s="5" t="s">
        <v>809</v>
      </c>
    </row>
    <row r="263" spans="1:22" x14ac:dyDescent="0.3">
      <c r="A263" s="5">
        <v>262</v>
      </c>
      <c r="B263" s="5" t="s">
        <v>78</v>
      </c>
      <c r="C263" s="5">
        <v>95136</v>
      </c>
      <c r="D263" s="5" t="str">
        <f>"458-11-020"</f>
        <v>458-11-020</v>
      </c>
      <c r="E263" s="5"/>
      <c r="F263" s="5" t="s">
        <v>222</v>
      </c>
      <c r="G263" s="22" t="s">
        <v>223</v>
      </c>
      <c r="H263" s="22">
        <v>50</v>
      </c>
      <c r="I263" s="5">
        <v>250</v>
      </c>
      <c r="J263" s="23">
        <v>3.8900784992575899</v>
      </c>
      <c r="K263" s="22" t="s">
        <v>582</v>
      </c>
      <c r="L263" s="5" t="s">
        <v>480</v>
      </c>
      <c r="M263" s="5" t="s">
        <v>482</v>
      </c>
      <c r="N263" s="5" t="s">
        <v>481</v>
      </c>
      <c r="O263" s="5" t="s">
        <v>483</v>
      </c>
      <c r="P263" s="25">
        <v>110.5</v>
      </c>
      <c r="Q263" s="5">
        <v>0</v>
      </c>
      <c r="R263" s="25">
        <v>331.5</v>
      </c>
      <c r="S263" s="5" t="s">
        <v>15</v>
      </c>
      <c r="T263" s="5">
        <v>442</v>
      </c>
      <c r="U263" s="24"/>
      <c r="V263" s="5" t="s">
        <v>596</v>
      </c>
    </row>
    <row r="264" spans="1:22" x14ac:dyDescent="0.3">
      <c r="A264" s="5">
        <v>263</v>
      </c>
      <c r="B264" s="5" t="s">
        <v>430</v>
      </c>
      <c r="C264" s="5">
        <v>95134</v>
      </c>
      <c r="D264" s="5" t="str">
        <f>"101-29-013"</f>
        <v>101-29-013</v>
      </c>
      <c r="E264" s="5" t="s">
        <v>567</v>
      </c>
      <c r="F264" s="5" t="s">
        <v>14</v>
      </c>
      <c r="G264" s="22" t="s">
        <v>586</v>
      </c>
      <c r="H264" s="22">
        <v>0</v>
      </c>
      <c r="I264" s="5">
        <v>0</v>
      </c>
      <c r="J264" s="23">
        <v>4.4280733301862796</v>
      </c>
      <c r="K264" s="22" t="s">
        <v>580</v>
      </c>
      <c r="L264" s="5" t="s">
        <v>480</v>
      </c>
      <c r="M264" s="5" t="s">
        <v>482</v>
      </c>
      <c r="N264" s="5" t="s">
        <v>481</v>
      </c>
      <c r="O264" s="5" t="s">
        <v>483</v>
      </c>
      <c r="P264" s="25">
        <v>99.5</v>
      </c>
      <c r="Q264" s="5">
        <v>0</v>
      </c>
      <c r="R264" s="25">
        <v>298.5</v>
      </c>
      <c r="S264" s="5" t="s">
        <v>15</v>
      </c>
      <c r="T264" s="5">
        <v>398</v>
      </c>
      <c r="U264" s="24" t="s">
        <v>595</v>
      </c>
      <c r="V264" s="5" t="s">
        <v>803</v>
      </c>
    </row>
    <row r="265" spans="1:22" x14ac:dyDescent="0.3">
      <c r="A265" s="5">
        <v>264</v>
      </c>
      <c r="B265" s="5" t="s">
        <v>436</v>
      </c>
      <c r="C265" s="5">
        <v>95134</v>
      </c>
      <c r="D265" s="5" t="str">
        <f>"101-29-012"</f>
        <v>101-29-012</v>
      </c>
      <c r="E265" s="5" t="s">
        <v>567</v>
      </c>
      <c r="F265" s="5" t="s">
        <v>14</v>
      </c>
      <c r="G265" s="22" t="s">
        <v>586</v>
      </c>
      <c r="H265" s="22">
        <v>0</v>
      </c>
      <c r="I265" s="5">
        <v>0</v>
      </c>
      <c r="J265" s="23">
        <v>3.5277007658036399</v>
      </c>
      <c r="K265" s="22" t="s">
        <v>580</v>
      </c>
      <c r="L265" s="5" t="s">
        <v>480</v>
      </c>
      <c r="M265" s="5" t="s">
        <v>482</v>
      </c>
      <c r="N265" s="5" t="s">
        <v>481</v>
      </c>
      <c r="O265" s="5" t="s">
        <v>483</v>
      </c>
      <c r="P265" s="25">
        <v>71</v>
      </c>
      <c r="Q265" s="5">
        <v>0</v>
      </c>
      <c r="R265" s="25">
        <v>213</v>
      </c>
      <c r="S265" s="5" t="s">
        <v>15</v>
      </c>
      <c r="T265" s="5">
        <v>284</v>
      </c>
      <c r="U265" s="24"/>
      <c r="V265" s="5" t="s">
        <v>806</v>
      </c>
    </row>
    <row r="266" spans="1:22" x14ac:dyDescent="0.3">
      <c r="A266" s="5">
        <v>265</v>
      </c>
      <c r="B266" s="5" t="s">
        <v>13</v>
      </c>
      <c r="C266" s="5">
        <v>95131</v>
      </c>
      <c r="D266" s="5" t="str">
        <f>"101-02-011"</f>
        <v>101-02-011</v>
      </c>
      <c r="E266" s="5"/>
      <c r="F266" s="5" t="s">
        <v>14</v>
      </c>
      <c r="G266" s="22" t="s">
        <v>586</v>
      </c>
      <c r="H266" s="22">
        <v>0</v>
      </c>
      <c r="I266" s="5">
        <v>0</v>
      </c>
      <c r="J266" s="23">
        <v>40.583741088476103</v>
      </c>
      <c r="K266" s="22" t="s">
        <v>577</v>
      </c>
      <c r="L266" s="5" t="s">
        <v>480</v>
      </c>
      <c r="M266" s="5" t="s">
        <v>482</v>
      </c>
      <c r="N266" s="5" t="s">
        <v>481</v>
      </c>
      <c r="O266" s="5" t="s">
        <v>483</v>
      </c>
      <c r="P266" s="25">
        <v>761</v>
      </c>
      <c r="Q266" s="5">
        <v>0</v>
      </c>
      <c r="R266" s="25">
        <v>2283</v>
      </c>
      <c r="S266" s="5" t="s">
        <v>15</v>
      </c>
      <c r="T266" s="5">
        <v>3044</v>
      </c>
      <c r="U266" s="24" t="s">
        <v>599</v>
      </c>
      <c r="V266" s="5" t="s">
        <v>600</v>
      </c>
    </row>
    <row r="267" spans="1:22" x14ac:dyDescent="0.3">
      <c r="A267" s="5">
        <v>266</v>
      </c>
      <c r="B267" s="5" t="s">
        <v>408</v>
      </c>
      <c r="C267" s="5">
        <v>95111</v>
      </c>
      <c r="D267" s="5" t="str">
        <f>"497-07-030"</f>
        <v>497-07-030</v>
      </c>
      <c r="E267" s="5"/>
      <c r="F267" s="5" t="s">
        <v>5</v>
      </c>
      <c r="G267" s="5" t="s">
        <v>931</v>
      </c>
      <c r="H267" s="22">
        <v>0</v>
      </c>
      <c r="I267" s="5">
        <v>0</v>
      </c>
      <c r="J267" s="23">
        <v>0.45131003488714999</v>
      </c>
      <c r="K267" s="22" t="s">
        <v>576</v>
      </c>
      <c r="L267" s="5" t="s">
        <v>480</v>
      </c>
      <c r="M267" s="5" t="s">
        <v>482</v>
      </c>
      <c r="N267" s="5" t="s">
        <v>481</v>
      </c>
      <c r="O267" s="5" t="s">
        <v>483</v>
      </c>
      <c r="P267" s="5">
        <v>0</v>
      </c>
      <c r="Q267" s="5">
        <v>29</v>
      </c>
      <c r="R267" s="5">
        <v>0</v>
      </c>
      <c r="S267" s="5" t="s">
        <v>21</v>
      </c>
      <c r="T267" s="5">
        <v>29</v>
      </c>
      <c r="U267" s="24"/>
      <c r="V267" s="5" t="s">
        <v>831</v>
      </c>
    </row>
    <row r="268" spans="1:22" x14ac:dyDescent="0.3">
      <c r="A268" s="5">
        <v>267</v>
      </c>
      <c r="B268" s="5" t="s">
        <v>378</v>
      </c>
      <c r="C268" s="5">
        <v>95112</v>
      </c>
      <c r="D268" s="5" t="str">
        <f>"472-16-039"</f>
        <v>472-16-039</v>
      </c>
      <c r="E268" s="5"/>
      <c r="F268" s="5" t="s">
        <v>33</v>
      </c>
      <c r="G268" s="22" t="s">
        <v>34</v>
      </c>
      <c r="H268" s="22">
        <v>0</v>
      </c>
      <c r="I268" s="5">
        <v>30</v>
      </c>
      <c r="J268" s="23">
        <v>0.64491503818148799</v>
      </c>
      <c r="K268" s="22" t="s">
        <v>576</v>
      </c>
      <c r="L268" s="5" t="s">
        <v>480</v>
      </c>
      <c r="M268" s="5" t="s">
        <v>482</v>
      </c>
      <c r="N268" s="5" t="s">
        <v>481</v>
      </c>
      <c r="O268" s="5" t="s">
        <v>483</v>
      </c>
      <c r="P268" s="5">
        <v>0</v>
      </c>
      <c r="Q268" s="5">
        <v>12</v>
      </c>
      <c r="R268" s="5">
        <v>0</v>
      </c>
      <c r="S268" s="5" t="s">
        <v>21</v>
      </c>
      <c r="T268" s="5">
        <v>12</v>
      </c>
      <c r="U268" s="24"/>
      <c r="V268" s="5" t="s">
        <v>787</v>
      </c>
    </row>
    <row r="269" spans="1:22" x14ac:dyDescent="0.3">
      <c r="A269" s="5">
        <v>268</v>
      </c>
      <c r="B269" s="5" t="s">
        <v>300</v>
      </c>
      <c r="C269" s="5">
        <v>95126</v>
      </c>
      <c r="D269" s="5" t="str">
        <f>"261-39-005"</f>
        <v>261-39-005</v>
      </c>
      <c r="E269" s="5"/>
      <c r="F269" s="5" t="s">
        <v>222</v>
      </c>
      <c r="G269" s="22" t="s">
        <v>223</v>
      </c>
      <c r="H269" s="22">
        <v>65</v>
      </c>
      <c r="I269" s="5">
        <v>450</v>
      </c>
      <c r="J269" s="23">
        <v>8.4828744073759996E-2</v>
      </c>
      <c r="K269" s="22" t="s">
        <v>577</v>
      </c>
      <c r="L269" s="5" t="s">
        <v>480</v>
      </c>
      <c r="M269" s="5" t="s">
        <v>482</v>
      </c>
      <c r="N269" s="5" t="s">
        <v>481</v>
      </c>
      <c r="O269" s="5" t="s">
        <v>483</v>
      </c>
      <c r="P269" s="25">
        <v>0</v>
      </c>
      <c r="Q269" s="5">
        <v>7</v>
      </c>
      <c r="R269" s="5">
        <v>0</v>
      </c>
      <c r="S269" s="5" t="s">
        <v>21</v>
      </c>
      <c r="T269" s="5">
        <v>7</v>
      </c>
      <c r="U269" s="24" t="s">
        <v>595</v>
      </c>
      <c r="V269" s="5" t="s">
        <v>754</v>
      </c>
    </row>
    <row r="270" spans="1:22" x14ac:dyDescent="0.3">
      <c r="A270" s="5">
        <v>269</v>
      </c>
      <c r="B270" s="5" t="s">
        <v>78</v>
      </c>
      <c r="C270" s="5">
        <v>95126</v>
      </c>
      <c r="D270" s="5" t="str">
        <f>"261-39-041"</f>
        <v>261-39-041</v>
      </c>
      <c r="E270" s="5" t="s">
        <v>538</v>
      </c>
      <c r="F270" s="5" t="s">
        <v>222</v>
      </c>
      <c r="G270" s="22" t="s">
        <v>223</v>
      </c>
      <c r="H270" s="22">
        <v>65</v>
      </c>
      <c r="I270" s="5">
        <v>450</v>
      </c>
      <c r="J270" s="23">
        <v>0.248139955697736</v>
      </c>
      <c r="K270" s="22" t="s">
        <v>582</v>
      </c>
      <c r="L270" s="5" t="s">
        <v>480</v>
      </c>
      <c r="M270" s="5" t="s">
        <v>482</v>
      </c>
      <c r="N270" s="5" t="s">
        <v>481</v>
      </c>
      <c r="O270" s="5" t="s">
        <v>483</v>
      </c>
      <c r="P270" s="25">
        <v>0</v>
      </c>
      <c r="Q270" s="5">
        <v>33</v>
      </c>
      <c r="R270" s="25">
        <v>0</v>
      </c>
      <c r="S270" s="5" t="s">
        <v>21</v>
      </c>
      <c r="T270" s="5">
        <v>33</v>
      </c>
      <c r="U270" s="24"/>
      <c r="V270" s="5" t="s">
        <v>811</v>
      </c>
    </row>
    <row r="271" spans="1:22" x14ac:dyDescent="0.3">
      <c r="A271" s="5">
        <v>270</v>
      </c>
      <c r="B271" s="5" t="s">
        <v>293</v>
      </c>
      <c r="C271" s="5">
        <v>95126</v>
      </c>
      <c r="D271" s="5" t="str">
        <f>"261-39-035"</f>
        <v>261-39-035</v>
      </c>
      <c r="E271" s="5" t="s">
        <v>538</v>
      </c>
      <c r="F271" s="5" t="s">
        <v>222</v>
      </c>
      <c r="G271" s="22" t="s">
        <v>223</v>
      </c>
      <c r="H271" s="22">
        <v>65</v>
      </c>
      <c r="I271" s="5">
        <v>450</v>
      </c>
      <c r="J271" s="23">
        <v>0.24088249873745701</v>
      </c>
      <c r="K271" s="22" t="s">
        <v>577</v>
      </c>
      <c r="L271" s="5" t="s">
        <v>480</v>
      </c>
      <c r="M271" s="5" t="s">
        <v>482</v>
      </c>
      <c r="N271" s="5" t="s">
        <v>481</v>
      </c>
      <c r="O271" s="5" t="s">
        <v>483</v>
      </c>
      <c r="P271" s="25">
        <v>0</v>
      </c>
      <c r="Q271" s="5">
        <v>11</v>
      </c>
      <c r="R271" s="25">
        <v>0</v>
      </c>
      <c r="S271" s="5" t="s">
        <v>21</v>
      </c>
      <c r="T271" s="5">
        <v>11</v>
      </c>
      <c r="U271" s="24"/>
      <c r="V271" s="5" t="s">
        <v>752</v>
      </c>
    </row>
    <row r="272" spans="1:22" x14ac:dyDescent="0.3">
      <c r="A272" s="5">
        <v>271</v>
      </c>
      <c r="B272" s="5" t="s">
        <v>296</v>
      </c>
      <c r="C272" s="5">
        <v>95126</v>
      </c>
      <c r="D272" s="5" t="str">
        <f>"261-39-012"</f>
        <v>261-39-012</v>
      </c>
      <c r="E272" s="5" t="s">
        <v>539</v>
      </c>
      <c r="F272" s="5" t="s">
        <v>50</v>
      </c>
      <c r="G272" s="22" t="s">
        <v>96</v>
      </c>
      <c r="H272" s="22">
        <v>30</v>
      </c>
      <c r="I272" s="5">
        <v>95</v>
      </c>
      <c r="J272" s="23">
        <v>0.16693120946221801</v>
      </c>
      <c r="K272" s="22" t="s">
        <v>581</v>
      </c>
      <c r="L272" s="5" t="s">
        <v>480</v>
      </c>
      <c r="M272" s="5" t="s">
        <v>482</v>
      </c>
      <c r="N272" s="5" t="s">
        <v>481</v>
      </c>
      <c r="O272" s="5" t="s">
        <v>483</v>
      </c>
      <c r="P272" s="25">
        <v>0</v>
      </c>
      <c r="Q272" s="5">
        <v>9</v>
      </c>
      <c r="R272" s="5">
        <v>0</v>
      </c>
      <c r="S272" s="5" t="s">
        <v>21</v>
      </c>
      <c r="T272" s="5">
        <v>9</v>
      </c>
      <c r="U272" s="24"/>
      <c r="V272" s="5" t="s">
        <v>596</v>
      </c>
    </row>
    <row r="273" spans="1:22" ht="28.8" x14ac:dyDescent="0.3">
      <c r="A273" s="5">
        <v>272</v>
      </c>
      <c r="B273" s="5" t="s">
        <v>78</v>
      </c>
      <c r="C273" s="5">
        <v>95126</v>
      </c>
      <c r="D273" s="5" t="str">
        <f>"261-39-036"</f>
        <v>261-39-036</v>
      </c>
      <c r="E273" s="5" t="s">
        <v>538</v>
      </c>
      <c r="F273" s="5" t="s">
        <v>222</v>
      </c>
      <c r="G273" s="22" t="s">
        <v>223</v>
      </c>
      <c r="H273" s="22">
        <v>65</v>
      </c>
      <c r="I273" s="5">
        <v>450</v>
      </c>
      <c r="J273" s="23">
        <v>0.47387100028351498</v>
      </c>
      <c r="K273" s="22" t="s">
        <v>582</v>
      </c>
      <c r="L273" s="5" t="s">
        <v>480</v>
      </c>
      <c r="M273" s="5" t="s">
        <v>482</v>
      </c>
      <c r="N273" s="5" t="s">
        <v>481</v>
      </c>
      <c r="O273" s="5" t="s">
        <v>483</v>
      </c>
      <c r="P273" s="25">
        <v>0</v>
      </c>
      <c r="Q273" s="5">
        <v>64</v>
      </c>
      <c r="R273" s="25">
        <v>0</v>
      </c>
      <c r="S273" s="5" t="s">
        <v>21</v>
      </c>
      <c r="T273" s="5">
        <v>64</v>
      </c>
      <c r="U273" s="24" t="s">
        <v>607</v>
      </c>
      <c r="V273" s="5" t="s">
        <v>815</v>
      </c>
    </row>
    <row r="274" spans="1:22" x14ac:dyDescent="0.3">
      <c r="A274" s="5">
        <v>273</v>
      </c>
      <c r="B274" s="5" t="s">
        <v>298</v>
      </c>
      <c r="C274" s="5">
        <v>95126</v>
      </c>
      <c r="D274" s="5" t="str">
        <f>"261-39-015"</f>
        <v>261-39-015</v>
      </c>
      <c r="E274" s="5" t="s">
        <v>540</v>
      </c>
      <c r="F274" s="5" t="s">
        <v>50</v>
      </c>
      <c r="G274" s="22" t="s">
        <v>96</v>
      </c>
      <c r="H274" s="22">
        <v>30</v>
      </c>
      <c r="I274" s="5">
        <v>95</v>
      </c>
      <c r="J274" s="23">
        <v>0.163516252820462</v>
      </c>
      <c r="K274" s="22" t="s">
        <v>577</v>
      </c>
      <c r="L274" s="5" t="s">
        <v>480</v>
      </c>
      <c r="M274" s="5" t="s">
        <v>482</v>
      </c>
      <c r="N274" s="5" t="s">
        <v>481</v>
      </c>
      <c r="O274" s="5" t="s">
        <v>483</v>
      </c>
      <c r="P274" s="25">
        <v>0</v>
      </c>
      <c r="Q274" s="5">
        <v>9</v>
      </c>
      <c r="R274" s="5">
        <v>0</v>
      </c>
      <c r="S274" s="5" t="s">
        <v>21</v>
      </c>
      <c r="T274" s="5">
        <v>9</v>
      </c>
      <c r="U274" s="24"/>
      <c r="V274" s="5" t="s">
        <v>577</v>
      </c>
    </row>
    <row r="275" spans="1:22" x14ac:dyDescent="0.3">
      <c r="A275" s="5">
        <v>274</v>
      </c>
      <c r="B275" s="5" t="s">
        <v>299</v>
      </c>
      <c r="C275" s="5">
        <v>95126</v>
      </c>
      <c r="D275" s="5" t="str">
        <f>"261-39-016"</f>
        <v>261-39-016</v>
      </c>
      <c r="E275" s="5" t="s">
        <v>540</v>
      </c>
      <c r="F275" s="5" t="s">
        <v>50</v>
      </c>
      <c r="G275" s="22" t="s">
        <v>96</v>
      </c>
      <c r="H275" s="22">
        <v>30</v>
      </c>
      <c r="I275" s="5">
        <v>95</v>
      </c>
      <c r="J275" s="23">
        <v>0.16618118179840399</v>
      </c>
      <c r="K275" s="22" t="s">
        <v>577</v>
      </c>
      <c r="L275" s="5" t="s">
        <v>480</v>
      </c>
      <c r="M275" s="5" t="s">
        <v>482</v>
      </c>
      <c r="N275" s="5" t="s">
        <v>481</v>
      </c>
      <c r="O275" s="5" t="s">
        <v>483</v>
      </c>
      <c r="P275" s="25">
        <v>0</v>
      </c>
      <c r="Q275" s="5">
        <v>9</v>
      </c>
      <c r="R275" s="5">
        <v>0</v>
      </c>
      <c r="S275" s="5" t="s">
        <v>21</v>
      </c>
      <c r="T275" s="5">
        <v>9</v>
      </c>
      <c r="U275" s="24"/>
      <c r="V275" s="5" t="s">
        <v>600</v>
      </c>
    </row>
    <row r="276" spans="1:22" x14ac:dyDescent="0.3">
      <c r="A276" s="5">
        <v>275</v>
      </c>
      <c r="B276" s="5" t="s">
        <v>297</v>
      </c>
      <c r="C276" s="5">
        <v>95126</v>
      </c>
      <c r="D276" s="5" t="str">
        <f>"261-39-013"</f>
        <v>261-39-013</v>
      </c>
      <c r="E276" s="5" t="s">
        <v>539</v>
      </c>
      <c r="F276" s="5" t="s">
        <v>50</v>
      </c>
      <c r="G276" s="22" t="s">
        <v>96</v>
      </c>
      <c r="H276" s="22">
        <v>30</v>
      </c>
      <c r="I276" s="5">
        <v>95</v>
      </c>
      <c r="J276" s="23">
        <v>0.14914527402393099</v>
      </c>
      <c r="K276" s="22" t="s">
        <v>581</v>
      </c>
      <c r="L276" s="5" t="s">
        <v>480</v>
      </c>
      <c r="M276" s="5" t="s">
        <v>482</v>
      </c>
      <c r="N276" s="5" t="s">
        <v>481</v>
      </c>
      <c r="O276" s="5" t="s">
        <v>483</v>
      </c>
      <c r="P276" s="25">
        <v>0</v>
      </c>
      <c r="Q276" s="5">
        <v>8</v>
      </c>
      <c r="R276" s="5">
        <v>0</v>
      </c>
      <c r="S276" s="5" t="s">
        <v>21</v>
      </c>
      <c r="T276" s="5">
        <v>8</v>
      </c>
      <c r="U276" s="24"/>
      <c r="V276" s="5" t="s">
        <v>577</v>
      </c>
    </row>
    <row r="277" spans="1:22" x14ac:dyDescent="0.3">
      <c r="A277" s="5">
        <v>276</v>
      </c>
      <c r="B277" s="5" t="s">
        <v>294</v>
      </c>
      <c r="C277" s="5">
        <v>95126</v>
      </c>
      <c r="D277" s="5" t="str">
        <f>"261-39-025"</f>
        <v>261-39-025</v>
      </c>
      <c r="E277" s="5" t="s">
        <v>538</v>
      </c>
      <c r="F277" s="5" t="s">
        <v>222</v>
      </c>
      <c r="G277" s="22" t="s">
        <v>223</v>
      </c>
      <c r="H277" s="22">
        <v>65</v>
      </c>
      <c r="I277" s="5">
        <v>450</v>
      </c>
      <c r="J277" s="23">
        <v>0.79493076914473104</v>
      </c>
      <c r="K277" s="22" t="s">
        <v>576</v>
      </c>
      <c r="L277" s="5" t="s">
        <v>480</v>
      </c>
      <c r="M277" s="5" t="s">
        <v>482</v>
      </c>
      <c r="N277" s="5" t="s">
        <v>481</v>
      </c>
      <c r="O277" s="5" t="s">
        <v>483</v>
      </c>
      <c r="P277" s="25">
        <v>0</v>
      </c>
      <c r="Q277" s="5">
        <v>107</v>
      </c>
      <c r="R277" s="25">
        <v>0</v>
      </c>
      <c r="S277" s="5" t="s">
        <v>21</v>
      </c>
      <c r="T277" s="5">
        <v>107</v>
      </c>
      <c r="U277" s="24"/>
      <c r="V277" s="5" t="s">
        <v>753</v>
      </c>
    </row>
    <row r="278" spans="1:22" x14ac:dyDescent="0.3">
      <c r="A278" s="5">
        <v>277</v>
      </c>
      <c r="B278" s="5" t="s">
        <v>295</v>
      </c>
      <c r="C278" s="5">
        <v>95126</v>
      </c>
      <c r="D278" s="5" t="str">
        <f>"261-39-027"</f>
        <v>261-39-027</v>
      </c>
      <c r="E278" s="5" t="s">
        <v>538</v>
      </c>
      <c r="F278" s="5" t="s">
        <v>222</v>
      </c>
      <c r="G278" s="22" t="s">
        <v>223</v>
      </c>
      <c r="H278" s="22">
        <v>65</v>
      </c>
      <c r="I278" s="5">
        <v>450</v>
      </c>
      <c r="J278" s="23">
        <v>0.78873227862571405</v>
      </c>
      <c r="K278" s="22" t="s">
        <v>580</v>
      </c>
      <c r="L278" s="5" t="s">
        <v>480</v>
      </c>
      <c r="M278" s="5" t="s">
        <v>482</v>
      </c>
      <c r="N278" s="5" t="s">
        <v>481</v>
      </c>
      <c r="O278" s="5" t="s">
        <v>483</v>
      </c>
      <c r="P278" s="25">
        <v>0</v>
      </c>
      <c r="Q278" s="5">
        <v>106</v>
      </c>
      <c r="R278" s="25">
        <v>0</v>
      </c>
      <c r="S278" s="5" t="s">
        <v>21</v>
      </c>
      <c r="T278" s="5">
        <v>106</v>
      </c>
      <c r="U278" s="24"/>
      <c r="V278" s="5" t="s">
        <v>596</v>
      </c>
    </row>
    <row r="279" spans="1:22" x14ac:dyDescent="0.3">
      <c r="A279" s="5">
        <v>278</v>
      </c>
      <c r="B279" s="5" t="s">
        <v>78</v>
      </c>
      <c r="C279" s="5">
        <v>95126</v>
      </c>
      <c r="D279" s="5" t="str">
        <f>"261-39-020"</f>
        <v>261-39-020</v>
      </c>
      <c r="E279" s="5" t="s">
        <v>540</v>
      </c>
      <c r="F279" s="5" t="s">
        <v>50</v>
      </c>
      <c r="G279" s="22" t="s">
        <v>96</v>
      </c>
      <c r="H279" s="22">
        <v>30</v>
      </c>
      <c r="I279" s="5">
        <v>95</v>
      </c>
      <c r="J279" s="23">
        <v>7.3560703154478602E-2</v>
      </c>
      <c r="K279" s="22" t="s">
        <v>577</v>
      </c>
      <c r="L279" s="5" t="s">
        <v>480</v>
      </c>
      <c r="M279" s="5" t="s">
        <v>482</v>
      </c>
      <c r="N279" s="5" t="s">
        <v>481</v>
      </c>
      <c r="O279" s="5" t="s">
        <v>483</v>
      </c>
      <c r="P279" s="25">
        <v>0</v>
      </c>
      <c r="Q279" s="5">
        <v>4</v>
      </c>
      <c r="R279" s="5">
        <v>0</v>
      </c>
      <c r="S279" s="5" t="s">
        <v>21</v>
      </c>
      <c r="T279" s="5">
        <v>4</v>
      </c>
      <c r="U279" s="24"/>
      <c r="V279" s="5" t="s">
        <v>600</v>
      </c>
    </row>
    <row r="280" spans="1:22" ht="28.8" x14ac:dyDescent="0.3">
      <c r="A280" s="5">
        <v>279</v>
      </c>
      <c r="B280" s="5" t="s">
        <v>78</v>
      </c>
      <c r="C280" s="5">
        <v>95126</v>
      </c>
      <c r="D280" s="5" t="str">
        <f>"261-39-024"</f>
        <v>261-39-024</v>
      </c>
      <c r="E280" s="5" t="s">
        <v>540</v>
      </c>
      <c r="F280" s="5" t="s">
        <v>50</v>
      </c>
      <c r="G280" s="22" t="s">
        <v>96</v>
      </c>
      <c r="H280" s="22">
        <v>30</v>
      </c>
      <c r="I280" s="5">
        <v>95</v>
      </c>
      <c r="J280" s="23">
        <v>0.16270353257436099</v>
      </c>
      <c r="K280" s="22" t="s">
        <v>576</v>
      </c>
      <c r="L280" s="5" t="s">
        <v>480</v>
      </c>
      <c r="M280" s="5" t="s">
        <v>482</v>
      </c>
      <c r="N280" s="5" t="s">
        <v>481</v>
      </c>
      <c r="O280" s="5" t="s">
        <v>483</v>
      </c>
      <c r="P280" s="25">
        <v>0</v>
      </c>
      <c r="Q280" s="5">
        <v>9</v>
      </c>
      <c r="R280" s="5">
        <v>0</v>
      </c>
      <c r="S280" s="5" t="s">
        <v>21</v>
      </c>
      <c r="T280" s="5">
        <v>9</v>
      </c>
      <c r="U280" s="24" t="s">
        <v>607</v>
      </c>
      <c r="V280" s="5" t="s">
        <v>694</v>
      </c>
    </row>
    <row r="281" spans="1:22" x14ac:dyDescent="0.3">
      <c r="A281" s="5">
        <v>280</v>
      </c>
      <c r="B281" s="5" t="s">
        <v>78</v>
      </c>
      <c r="C281" s="5">
        <v>95126</v>
      </c>
      <c r="D281" s="5" t="str">
        <f>"261-38-030"</f>
        <v>261-38-030</v>
      </c>
      <c r="E281" s="5"/>
      <c r="F281" s="5" t="s">
        <v>222</v>
      </c>
      <c r="G281" s="22" t="s">
        <v>223</v>
      </c>
      <c r="H281" s="22">
        <v>65</v>
      </c>
      <c r="I281" s="5">
        <v>450</v>
      </c>
      <c r="J281" s="23">
        <v>9.1541047698345104E-2</v>
      </c>
      <c r="K281" s="22" t="s">
        <v>577</v>
      </c>
      <c r="L281" s="5" t="s">
        <v>480</v>
      </c>
      <c r="M281" s="5" t="s">
        <v>482</v>
      </c>
      <c r="N281" s="5" t="s">
        <v>481</v>
      </c>
      <c r="O281" s="5" t="s">
        <v>483</v>
      </c>
      <c r="P281" s="25">
        <v>0</v>
      </c>
      <c r="Q281" s="5">
        <v>9</v>
      </c>
      <c r="R281" s="5">
        <v>0</v>
      </c>
      <c r="S281" s="5" t="s">
        <v>21</v>
      </c>
      <c r="T281" s="5">
        <v>9</v>
      </c>
      <c r="U281" s="24"/>
      <c r="V281" s="5" t="s">
        <v>577</v>
      </c>
    </row>
    <row r="282" spans="1:22" x14ac:dyDescent="0.3">
      <c r="A282" s="5">
        <v>281</v>
      </c>
      <c r="B282" s="5" t="s">
        <v>323</v>
      </c>
      <c r="C282" s="5">
        <v>95126</v>
      </c>
      <c r="D282" s="5" t="str">
        <f>"264-20-065"</f>
        <v>264-20-065</v>
      </c>
      <c r="E282" s="5"/>
      <c r="F282" s="5" t="s">
        <v>20</v>
      </c>
      <c r="G282" s="22" t="s">
        <v>584</v>
      </c>
      <c r="H282" s="22">
        <v>0</v>
      </c>
      <c r="I282" s="5">
        <v>800</v>
      </c>
      <c r="J282" s="23">
        <v>0.125544299320933</v>
      </c>
      <c r="K282" s="22" t="s">
        <v>582</v>
      </c>
      <c r="L282" s="5" t="s">
        <v>480</v>
      </c>
      <c r="M282" s="5" t="s">
        <v>482</v>
      </c>
      <c r="N282" s="5" t="s">
        <v>481</v>
      </c>
      <c r="O282" s="5" t="s">
        <v>483</v>
      </c>
      <c r="P282" s="5">
        <v>0</v>
      </c>
      <c r="Q282" s="5">
        <v>16</v>
      </c>
      <c r="R282" s="5">
        <v>0</v>
      </c>
      <c r="S282" s="5" t="s">
        <v>21</v>
      </c>
      <c r="T282" s="5">
        <v>16</v>
      </c>
      <c r="U282" s="24"/>
      <c r="V282" s="5" t="s">
        <v>596</v>
      </c>
    </row>
    <row r="283" spans="1:22" x14ac:dyDescent="0.3">
      <c r="A283" s="5">
        <v>282</v>
      </c>
      <c r="B283" s="5" t="s">
        <v>348</v>
      </c>
      <c r="C283" s="5">
        <v>95112</v>
      </c>
      <c r="D283" s="5" t="str">
        <f>"467-01-029"</f>
        <v>467-01-029</v>
      </c>
      <c r="E283" s="5"/>
      <c r="F283" s="5" t="s">
        <v>20</v>
      </c>
      <c r="G283" s="22" t="s">
        <v>584</v>
      </c>
      <c r="H283" s="22">
        <v>0</v>
      </c>
      <c r="I283" s="5">
        <v>800</v>
      </c>
      <c r="J283" s="23">
        <v>0.32684868413567397</v>
      </c>
      <c r="K283" s="22" t="s">
        <v>582</v>
      </c>
      <c r="L283" s="5" t="s">
        <v>480</v>
      </c>
      <c r="M283" s="5" t="s">
        <v>482</v>
      </c>
      <c r="N283" s="5" t="s">
        <v>481</v>
      </c>
      <c r="O283" s="5" t="s">
        <v>483</v>
      </c>
      <c r="P283" s="5">
        <v>0</v>
      </c>
      <c r="Q283" s="5">
        <v>48</v>
      </c>
      <c r="R283" s="5">
        <v>0</v>
      </c>
      <c r="S283" s="5" t="s">
        <v>21</v>
      </c>
      <c r="T283" s="5">
        <v>48</v>
      </c>
      <c r="U283" s="24"/>
      <c r="V283" s="5" t="s">
        <v>614</v>
      </c>
    </row>
    <row r="284" spans="1:22" x14ac:dyDescent="0.3">
      <c r="A284" s="5">
        <v>283</v>
      </c>
      <c r="B284" s="5" t="s">
        <v>350</v>
      </c>
      <c r="C284" s="5">
        <v>95112</v>
      </c>
      <c r="D284" s="5" t="str">
        <f>"467-01-035"</f>
        <v>467-01-035</v>
      </c>
      <c r="E284" s="5" t="s">
        <v>551</v>
      </c>
      <c r="F284" s="5" t="s">
        <v>20</v>
      </c>
      <c r="G284" s="22" t="s">
        <v>584</v>
      </c>
      <c r="H284" s="22">
        <v>0</v>
      </c>
      <c r="I284" s="5">
        <v>800</v>
      </c>
      <c r="J284" s="23">
        <v>0.103111144612476</v>
      </c>
      <c r="K284" s="22" t="s">
        <v>577</v>
      </c>
      <c r="L284" s="5" t="s">
        <v>480</v>
      </c>
      <c r="M284" s="5" t="s">
        <v>482</v>
      </c>
      <c r="N284" s="5" t="s">
        <v>481</v>
      </c>
      <c r="O284" s="5" t="s">
        <v>483</v>
      </c>
      <c r="P284" s="5">
        <v>0</v>
      </c>
      <c r="Q284" s="5">
        <v>11</v>
      </c>
      <c r="R284" s="5">
        <v>0</v>
      </c>
      <c r="S284" s="5" t="s">
        <v>21</v>
      </c>
      <c r="T284" s="5">
        <v>11</v>
      </c>
      <c r="U284" s="24"/>
      <c r="V284" s="5" t="s">
        <v>614</v>
      </c>
    </row>
    <row r="285" spans="1:22" x14ac:dyDescent="0.3">
      <c r="A285" s="5">
        <v>284</v>
      </c>
      <c r="B285" s="5" t="s">
        <v>352</v>
      </c>
      <c r="C285" s="5">
        <v>95112</v>
      </c>
      <c r="D285" s="5" t="str">
        <f>"467-01-120"</f>
        <v>467-01-120</v>
      </c>
      <c r="E285" s="5"/>
      <c r="F285" s="5" t="s">
        <v>33</v>
      </c>
      <c r="G285" s="22" t="s">
        <v>34</v>
      </c>
      <c r="H285" s="22">
        <v>0</v>
      </c>
      <c r="I285" s="5">
        <v>30</v>
      </c>
      <c r="J285" s="23">
        <v>0.43208380220456399</v>
      </c>
      <c r="K285" s="22" t="s">
        <v>577</v>
      </c>
      <c r="L285" s="5" t="s">
        <v>480</v>
      </c>
      <c r="M285" s="5" t="s">
        <v>482</v>
      </c>
      <c r="N285" s="5" t="s">
        <v>481</v>
      </c>
      <c r="O285" s="5" t="s">
        <v>483</v>
      </c>
      <c r="P285" s="5">
        <v>0</v>
      </c>
      <c r="Q285" s="5">
        <v>8</v>
      </c>
      <c r="R285" s="5">
        <v>0</v>
      </c>
      <c r="S285" s="5" t="s">
        <v>21</v>
      </c>
      <c r="T285" s="5">
        <v>8</v>
      </c>
      <c r="U285" s="24"/>
      <c r="V285" s="5" t="s">
        <v>779</v>
      </c>
    </row>
    <row r="286" spans="1:22" x14ac:dyDescent="0.3">
      <c r="A286" s="5">
        <v>285</v>
      </c>
      <c r="B286" s="5" t="s">
        <v>224</v>
      </c>
      <c r="C286" s="5">
        <v>95112</v>
      </c>
      <c r="D286" s="5" t="str">
        <f>"249-05-058"</f>
        <v>249-05-058</v>
      </c>
      <c r="E286" s="5"/>
      <c r="F286" s="5" t="s">
        <v>33</v>
      </c>
      <c r="G286" s="22" t="s">
        <v>34</v>
      </c>
      <c r="H286" s="22">
        <v>0</v>
      </c>
      <c r="I286" s="5">
        <v>30</v>
      </c>
      <c r="J286" s="23">
        <v>0.49651907195718298</v>
      </c>
      <c r="K286" s="22" t="s">
        <v>581</v>
      </c>
      <c r="L286" s="5" t="s">
        <v>480</v>
      </c>
      <c r="M286" s="5" t="s">
        <v>482</v>
      </c>
      <c r="N286" s="5" t="s">
        <v>481</v>
      </c>
      <c r="O286" s="5" t="s">
        <v>483</v>
      </c>
      <c r="P286" s="5">
        <v>0</v>
      </c>
      <c r="Q286" s="5">
        <v>9</v>
      </c>
      <c r="R286" s="5">
        <v>0</v>
      </c>
      <c r="S286" s="5" t="s">
        <v>21</v>
      </c>
      <c r="T286" s="5">
        <v>9</v>
      </c>
      <c r="U286" s="24"/>
      <c r="V286" s="5" t="s">
        <v>596</v>
      </c>
    </row>
    <row r="287" spans="1:22" x14ac:dyDescent="0.3">
      <c r="A287" s="5">
        <v>286</v>
      </c>
      <c r="B287" s="5" t="s">
        <v>225</v>
      </c>
      <c r="C287" s="5">
        <v>95112</v>
      </c>
      <c r="D287" s="5" t="str">
        <f>"249-08-009"</f>
        <v>249-08-009</v>
      </c>
      <c r="E287" s="5" t="s">
        <v>526</v>
      </c>
      <c r="F287" s="5" t="s">
        <v>33</v>
      </c>
      <c r="G287" s="22" t="s">
        <v>34</v>
      </c>
      <c r="H287" s="22">
        <v>0</v>
      </c>
      <c r="I287" s="5">
        <v>30</v>
      </c>
      <c r="J287" s="23">
        <v>0.54402662769205101</v>
      </c>
      <c r="K287" s="22" t="s">
        <v>580</v>
      </c>
      <c r="L287" s="5" t="s">
        <v>480</v>
      </c>
      <c r="M287" s="5" t="s">
        <v>482</v>
      </c>
      <c r="N287" s="5" t="s">
        <v>481</v>
      </c>
      <c r="O287" s="5" t="s">
        <v>483</v>
      </c>
      <c r="P287" s="5">
        <v>0</v>
      </c>
      <c r="Q287" s="5">
        <v>10</v>
      </c>
      <c r="R287" s="5">
        <v>0</v>
      </c>
      <c r="S287" s="5" t="s">
        <v>21</v>
      </c>
      <c r="T287" s="5">
        <v>10</v>
      </c>
      <c r="U287" s="24"/>
      <c r="V287" s="5" t="s">
        <v>728</v>
      </c>
    </row>
    <row r="288" spans="1:22" x14ac:dyDescent="0.3">
      <c r="A288" s="5">
        <v>287</v>
      </c>
      <c r="B288" s="5" t="s">
        <v>78</v>
      </c>
      <c r="C288" s="5">
        <v>95112</v>
      </c>
      <c r="D288" s="5" t="str">
        <f>"249-08-020"</f>
        <v>249-08-020</v>
      </c>
      <c r="E288" s="5" t="s">
        <v>526</v>
      </c>
      <c r="F288" s="5" t="s">
        <v>33</v>
      </c>
      <c r="G288" s="22" t="s">
        <v>34</v>
      </c>
      <c r="H288" s="22">
        <v>0</v>
      </c>
      <c r="I288" s="5">
        <v>30</v>
      </c>
      <c r="J288" s="23">
        <v>0.54707572690661099</v>
      </c>
      <c r="K288" s="22" t="s">
        <v>580</v>
      </c>
      <c r="L288" s="5" t="s">
        <v>480</v>
      </c>
      <c r="M288" s="5" t="s">
        <v>482</v>
      </c>
      <c r="N288" s="5" t="s">
        <v>481</v>
      </c>
      <c r="O288" s="5" t="s">
        <v>483</v>
      </c>
      <c r="P288" s="5">
        <v>0</v>
      </c>
      <c r="Q288" s="5">
        <v>10</v>
      </c>
      <c r="R288" s="5">
        <v>0</v>
      </c>
      <c r="S288" s="5" t="s">
        <v>21</v>
      </c>
      <c r="T288" s="5">
        <v>10</v>
      </c>
      <c r="U288" s="24"/>
      <c r="V288" s="5" t="s">
        <v>694</v>
      </c>
    </row>
    <row r="289" spans="1:22" x14ac:dyDescent="0.3">
      <c r="A289" s="5">
        <v>288</v>
      </c>
      <c r="B289" s="5" t="s">
        <v>204</v>
      </c>
      <c r="C289" s="5">
        <v>95124</v>
      </c>
      <c r="D289" s="5" t="str">
        <f>"569-18-058"</f>
        <v>569-18-058</v>
      </c>
      <c r="E289" s="5"/>
      <c r="F289" s="5" t="s">
        <v>54</v>
      </c>
      <c r="G289" s="22" t="s">
        <v>591</v>
      </c>
      <c r="H289" s="22">
        <v>0</v>
      </c>
      <c r="I289" s="5">
        <v>8</v>
      </c>
      <c r="J289" s="23">
        <v>1.8276999848833599</v>
      </c>
      <c r="K289" s="22" t="s">
        <v>592</v>
      </c>
      <c r="L289" s="5" t="s">
        <v>480</v>
      </c>
      <c r="M289" s="5" t="s">
        <v>482</v>
      </c>
      <c r="N289" s="5" t="s">
        <v>481</v>
      </c>
      <c r="O289" s="5" t="s">
        <v>483</v>
      </c>
      <c r="P289" s="5">
        <v>0</v>
      </c>
      <c r="Q289" s="5">
        <v>14</v>
      </c>
      <c r="R289" s="5">
        <v>0</v>
      </c>
      <c r="S289" s="5" t="s">
        <v>21</v>
      </c>
      <c r="T289" s="5">
        <v>14</v>
      </c>
      <c r="U289" s="24"/>
      <c r="V289" s="5" t="s">
        <v>719</v>
      </c>
    </row>
    <row r="290" spans="1:22" x14ac:dyDescent="0.3">
      <c r="A290" s="5">
        <v>289</v>
      </c>
      <c r="B290" s="5" t="s">
        <v>250</v>
      </c>
      <c r="C290" s="5">
        <v>95110</v>
      </c>
      <c r="D290" s="5" t="str">
        <f>"259-46-046"</f>
        <v>259-46-046</v>
      </c>
      <c r="E290" s="5" t="s">
        <v>530</v>
      </c>
      <c r="F290" s="5" t="s">
        <v>20</v>
      </c>
      <c r="G290" s="22" t="s">
        <v>584</v>
      </c>
      <c r="H290" s="22">
        <v>0</v>
      </c>
      <c r="I290" s="5">
        <v>800</v>
      </c>
      <c r="J290" s="23">
        <v>0.14238390589665301</v>
      </c>
      <c r="K290" s="22" t="s">
        <v>577</v>
      </c>
      <c r="L290" s="5" t="s">
        <v>480</v>
      </c>
      <c r="M290" s="5" t="s">
        <v>482</v>
      </c>
      <c r="N290" s="5" t="s">
        <v>481</v>
      </c>
      <c r="O290" s="5" t="s">
        <v>483</v>
      </c>
      <c r="P290" s="5">
        <v>0</v>
      </c>
      <c r="Q290" s="5">
        <v>17</v>
      </c>
      <c r="R290" s="5">
        <v>0</v>
      </c>
      <c r="S290" s="5" t="s">
        <v>21</v>
      </c>
      <c r="T290" s="5">
        <v>17</v>
      </c>
      <c r="U290" s="24"/>
      <c r="V290" s="5" t="s">
        <v>614</v>
      </c>
    </row>
    <row r="291" spans="1:22" x14ac:dyDescent="0.3">
      <c r="A291" s="5">
        <v>290</v>
      </c>
      <c r="B291" s="5" t="s">
        <v>256</v>
      </c>
      <c r="C291" s="5">
        <v>95110</v>
      </c>
      <c r="D291" s="5" t="str">
        <f>"259-46-090"</f>
        <v>259-46-090</v>
      </c>
      <c r="E291" s="5" t="s">
        <v>532</v>
      </c>
      <c r="F291" s="5" t="s">
        <v>20</v>
      </c>
      <c r="G291" s="22" t="s">
        <v>584</v>
      </c>
      <c r="H291" s="22">
        <v>0</v>
      </c>
      <c r="I291" s="5">
        <v>800</v>
      </c>
      <c r="J291" s="23">
        <v>0.143478152476083</v>
      </c>
      <c r="K291" s="22" t="s">
        <v>577</v>
      </c>
      <c r="L291" s="5" t="s">
        <v>480</v>
      </c>
      <c r="M291" s="5" t="s">
        <v>482</v>
      </c>
      <c r="N291" s="5" t="s">
        <v>481</v>
      </c>
      <c r="O291" s="5" t="s">
        <v>483</v>
      </c>
      <c r="P291" s="5">
        <v>0</v>
      </c>
      <c r="Q291" s="5">
        <v>17</v>
      </c>
      <c r="R291" s="5">
        <v>0</v>
      </c>
      <c r="S291" s="5" t="s">
        <v>21</v>
      </c>
      <c r="T291" s="5">
        <v>17</v>
      </c>
      <c r="U291" s="24"/>
      <c r="V291" s="5" t="s">
        <v>614</v>
      </c>
    </row>
    <row r="292" spans="1:22" x14ac:dyDescent="0.3">
      <c r="A292" s="5">
        <v>291</v>
      </c>
      <c r="B292" s="5" t="s">
        <v>283</v>
      </c>
      <c r="C292" s="5">
        <v>95110</v>
      </c>
      <c r="D292" s="5" t="str">
        <f>"259-48-031"</f>
        <v>259-48-031</v>
      </c>
      <c r="E292" s="5"/>
      <c r="F292" s="5" t="s">
        <v>20</v>
      </c>
      <c r="G292" s="22" t="s">
        <v>584</v>
      </c>
      <c r="H292" s="22">
        <v>0</v>
      </c>
      <c r="I292" s="5">
        <v>800</v>
      </c>
      <c r="J292" s="23">
        <v>0.15548133599854699</v>
      </c>
      <c r="K292" s="22" t="s">
        <v>577</v>
      </c>
      <c r="L292" s="5" t="s">
        <v>480</v>
      </c>
      <c r="M292" s="5" t="s">
        <v>482</v>
      </c>
      <c r="N292" s="5" t="s">
        <v>481</v>
      </c>
      <c r="O292" s="5" t="s">
        <v>483</v>
      </c>
      <c r="P292" s="5">
        <v>0</v>
      </c>
      <c r="Q292" s="5">
        <v>17</v>
      </c>
      <c r="R292" s="5">
        <v>0</v>
      </c>
      <c r="S292" s="5" t="s">
        <v>21</v>
      </c>
      <c r="T292" s="5">
        <v>17</v>
      </c>
      <c r="U292" s="24"/>
      <c r="V292" s="5" t="s">
        <v>746</v>
      </c>
    </row>
    <row r="293" spans="1:22" x14ac:dyDescent="0.3">
      <c r="A293" s="5">
        <v>292</v>
      </c>
      <c r="B293" s="5" t="s">
        <v>53</v>
      </c>
      <c r="C293" s="5">
        <v>95123</v>
      </c>
      <c r="D293" s="5" t="str">
        <f>"695-11-051"</f>
        <v>695-11-051</v>
      </c>
      <c r="E293" s="5"/>
      <c r="F293" s="5" t="s">
        <v>54</v>
      </c>
      <c r="G293" s="22" t="s">
        <v>589</v>
      </c>
      <c r="H293" s="22">
        <v>0</v>
      </c>
      <c r="I293" s="5">
        <v>8</v>
      </c>
      <c r="J293" s="23">
        <v>0.91159399531798602</v>
      </c>
      <c r="K293" s="22" t="s">
        <v>577</v>
      </c>
      <c r="L293" s="5" t="s">
        <v>480</v>
      </c>
      <c r="M293" s="5" t="s">
        <v>482</v>
      </c>
      <c r="N293" s="5" t="s">
        <v>481</v>
      </c>
      <c r="O293" s="5" t="s">
        <v>483</v>
      </c>
      <c r="P293" s="5">
        <v>0</v>
      </c>
      <c r="Q293" s="5">
        <v>4</v>
      </c>
      <c r="R293" s="5">
        <v>0</v>
      </c>
      <c r="S293" s="5" t="s">
        <v>21</v>
      </c>
      <c r="T293" s="5">
        <v>4</v>
      </c>
      <c r="U293" s="24"/>
      <c r="V293" s="5" t="s">
        <v>622</v>
      </c>
    </row>
    <row r="294" spans="1:22" x14ac:dyDescent="0.3">
      <c r="A294" s="5">
        <v>293</v>
      </c>
      <c r="B294" s="5" t="s">
        <v>69</v>
      </c>
      <c r="C294" s="5">
        <v>95121</v>
      </c>
      <c r="D294" s="5" t="str">
        <f>"676-16-020"</f>
        <v>676-16-020</v>
      </c>
      <c r="E294" s="5"/>
      <c r="F294" s="5" t="s">
        <v>54</v>
      </c>
      <c r="G294" s="22" t="s">
        <v>589</v>
      </c>
      <c r="H294" s="22">
        <v>0</v>
      </c>
      <c r="I294" s="5">
        <v>8</v>
      </c>
      <c r="J294" s="23">
        <v>1.1305701882911501</v>
      </c>
      <c r="K294" s="22" t="s">
        <v>581</v>
      </c>
      <c r="L294" s="5" t="s">
        <v>480</v>
      </c>
      <c r="M294" s="5" t="s">
        <v>482</v>
      </c>
      <c r="N294" s="5" t="s">
        <v>481</v>
      </c>
      <c r="O294" s="5" t="s">
        <v>483</v>
      </c>
      <c r="P294" s="5">
        <v>0</v>
      </c>
      <c r="Q294" s="5">
        <v>8</v>
      </c>
      <c r="R294" s="5">
        <v>0</v>
      </c>
      <c r="S294" s="5" t="s">
        <v>21</v>
      </c>
      <c r="T294" s="5">
        <v>8</v>
      </c>
      <c r="U294" s="24"/>
      <c r="V294" s="5" t="s">
        <v>625</v>
      </c>
    </row>
    <row r="295" spans="1:22" ht="28.8" x14ac:dyDescent="0.3">
      <c r="A295" s="5">
        <v>294</v>
      </c>
      <c r="B295" s="5" t="s">
        <v>78</v>
      </c>
      <c r="C295" s="5">
        <v>95112</v>
      </c>
      <c r="D295" s="5" t="str">
        <f>"472-18-058"</f>
        <v>472-18-058</v>
      </c>
      <c r="E295" s="5"/>
      <c r="F295" s="5" t="s">
        <v>222</v>
      </c>
      <c r="G295" s="22" t="s">
        <v>223</v>
      </c>
      <c r="H295" s="22">
        <v>50</v>
      </c>
      <c r="I295" s="5">
        <v>250</v>
      </c>
      <c r="J295" s="23">
        <v>0.85588835739051194</v>
      </c>
      <c r="K295" s="22" t="s">
        <v>580</v>
      </c>
      <c r="L295" s="5" t="s">
        <v>480</v>
      </c>
      <c r="M295" s="5" t="s">
        <v>482</v>
      </c>
      <c r="N295" s="5" t="s">
        <v>481</v>
      </c>
      <c r="O295" s="5" t="s">
        <v>483</v>
      </c>
      <c r="P295" s="25">
        <v>0</v>
      </c>
      <c r="Q295" s="5">
        <v>102</v>
      </c>
      <c r="R295" s="5">
        <v>0</v>
      </c>
      <c r="S295" s="5" t="s">
        <v>21</v>
      </c>
      <c r="T295" s="5">
        <v>102</v>
      </c>
      <c r="U295" s="24" t="s">
        <v>607</v>
      </c>
      <c r="V295" s="5" t="s">
        <v>808</v>
      </c>
    </row>
    <row r="296" spans="1:22" x14ac:dyDescent="0.3">
      <c r="A296" s="5">
        <v>295</v>
      </c>
      <c r="B296" s="5" t="s">
        <v>379</v>
      </c>
      <c r="C296" s="5">
        <v>95112</v>
      </c>
      <c r="D296" s="5" t="str">
        <f>"472-18-007"</f>
        <v>472-18-007</v>
      </c>
      <c r="E296" s="5"/>
      <c r="F296" s="5" t="s">
        <v>222</v>
      </c>
      <c r="G296" s="22" t="s">
        <v>223</v>
      </c>
      <c r="H296" s="22">
        <v>50</v>
      </c>
      <c r="I296" s="5">
        <v>250</v>
      </c>
      <c r="J296" s="23">
        <v>1.0388570975195699</v>
      </c>
      <c r="K296" s="22" t="s">
        <v>580</v>
      </c>
      <c r="L296" s="5" t="s">
        <v>480</v>
      </c>
      <c r="M296" s="5" t="s">
        <v>482</v>
      </c>
      <c r="N296" s="5" t="s">
        <v>481</v>
      </c>
      <c r="O296" s="5" t="s">
        <v>483</v>
      </c>
      <c r="P296" s="25">
        <v>0</v>
      </c>
      <c r="Q296" s="5">
        <v>131</v>
      </c>
      <c r="R296" s="5">
        <v>0</v>
      </c>
      <c r="S296" s="5" t="s">
        <v>21</v>
      </c>
      <c r="T296" s="5">
        <v>131</v>
      </c>
      <c r="U296" s="24"/>
      <c r="V296" s="5" t="s">
        <v>784</v>
      </c>
    </row>
    <row r="297" spans="1:22" x14ac:dyDescent="0.3">
      <c r="A297" s="5">
        <v>296</v>
      </c>
      <c r="B297" s="5" t="s">
        <v>383</v>
      </c>
      <c r="C297" s="5">
        <v>95112</v>
      </c>
      <c r="D297" s="5" t="str">
        <f>"472-27-105"</f>
        <v>472-27-105</v>
      </c>
      <c r="E297" s="5"/>
      <c r="F297" s="5" t="s">
        <v>222</v>
      </c>
      <c r="G297" s="22" t="s">
        <v>223</v>
      </c>
      <c r="H297" s="22">
        <v>50</v>
      </c>
      <c r="I297" s="5">
        <v>250</v>
      </c>
      <c r="J297" s="23">
        <v>0.85846751827978096</v>
      </c>
      <c r="K297" s="22" t="s">
        <v>580</v>
      </c>
      <c r="L297" s="5" t="s">
        <v>480</v>
      </c>
      <c r="M297" s="5" t="s">
        <v>482</v>
      </c>
      <c r="N297" s="5" t="s">
        <v>481</v>
      </c>
      <c r="O297" s="5" t="s">
        <v>483</v>
      </c>
      <c r="P297" s="25">
        <v>0</v>
      </c>
      <c r="Q297" s="5">
        <v>96</v>
      </c>
      <c r="R297" s="5">
        <v>0</v>
      </c>
      <c r="S297" s="5" t="s">
        <v>21</v>
      </c>
      <c r="T297" s="5">
        <v>96</v>
      </c>
      <c r="U297" s="24"/>
      <c r="V297" s="5" t="s">
        <v>788</v>
      </c>
    </row>
    <row r="298" spans="1:22" x14ac:dyDescent="0.3">
      <c r="A298" s="5">
        <v>297</v>
      </c>
      <c r="B298" s="5" t="s">
        <v>364</v>
      </c>
      <c r="C298" s="5">
        <v>95113</v>
      </c>
      <c r="D298" s="5" t="str">
        <f>"467-22-142"</f>
        <v>467-22-142</v>
      </c>
      <c r="E298" s="5"/>
      <c r="F298" s="5" t="s">
        <v>20</v>
      </c>
      <c r="G298" s="22" t="s">
        <v>584</v>
      </c>
      <c r="H298" s="22">
        <v>0</v>
      </c>
      <c r="I298" s="5">
        <v>800</v>
      </c>
      <c r="J298" s="23">
        <v>0.99900675029873198</v>
      </c>
      <c r="K298" s="22" t="s">
        <v>582</v>
      </c>
      <c r="L298" s="5" t="s">
        <v>480</v>
      </c>
      <c r="M298" s="5" t="s">
        <v>482</v>
      </c>
      <c r="N298" s="5" t="s">
        <v>481</v>
      </c>
      <c r="O298" s="5" t="s">
        <v>483</v>
      </c>
      <c r="P298" s="5">
        <v>0</v>
      </c>
      <c r="Q298" s="5">
        <v>126</v>
      </c>
      <c r="R298" s="5">
        <v>0</v>
      </c>
      <c r="S298" s="5" t="s">
        <v>21</v>
      </c>
      <c r="T298" s="5">
        <v>126</v>
      </c>
      <c r="U298" s="24"/>
      <c r="V298" s="5" t="s">
        <v>782</v>
      </c>
    </row>
    <row r="299" spans="1:22" x14ac:dyDescent="0.3">
      <c r="A299" s="5">
        <v>298</v>
      </c>
      <c r="B299" s="5" t="s">
        <v>78</v>
      </c>
      <c r="C299" s="5">
        <v>95132</v>
      </c>
      <c r="D299" s="5" t="str">
        <f>"586-18-059"</f>
        <v>586-18-059</v>
      </c>
      <c r="E299" s="5"/>
      <c r="F299" s="5" t="s">
        <v>54</v>
      </c>
      <c r="G299" s="22" t="s">
        <v>589</v>
      </c>
      <c r="H299" s="22">
        <v>0</v>
      </c>
      <c r="I299" s="5">
        <v>8</v>
      </c>
      <c r="J299" s="23">
        <v>0.60234153250146005</v>
      </c>
      <c r="K299" s="22" t="s">
        <v>577</v>
      </c>
      <c r="L299" s="5" t="s">
        <v>480</v>
      </c>
      <c r="M299" s="5" t="s">
        <v>482</v>
      </c>
      <c r="N299" s="5" t="s">
        <v>481</v>
      </c>
      <c r="O299" s="5" t="s">
        <v>483</v>
      </c>
      <c r="P299" s="5">
        <v>0</v>
      </c>
      <c r="Q299" s="5">
        <v>3</v>
      </c>
      <c r="R299" s="5">
        <v>0</v>
      </c>
      <c r="S299" s="5" t="s">
        <v>21</v>
      </c>
      <c r="T299" s="5">
        <v>3</v>
      </c>
      <c r="U299" s="24"/>
      <c r="V299" s="5" t="s">
        <v>746</v>
      </c>
    </row>
    <row r="300" spans="1:22" x14ac:dyDescent="0.3">
      <c r="A300" s="5">
        <v>299</v>
      </c>
      <c r="B300" s="5" t="s">
        <v>78</v>
      </c>
      <c r="C300" s="5">
        <v>95111</v>
      </c>
      <c r="D300" s="5" t="str">
        <f>"497-07-029"</f>
        <v>497-07-029</v>
      </c>
      <c r="E300" s="5"/>
      <c r="F300" s="5" t="s">
        <v>5</v>
      </c>
      <c r="G300" s="5" t="s">
        <v>931</v>
      </c>
      <c r="H300" s="22">
        <v>0</v>
      </c>
      <c r="I300" s="5">
        <v>0</v>
      </c>
      <c r="J300" s="23">
        <v>2.2600730749423401</v>
      </c>
      <c r="K300" s="22" t="s">
        <v>582</v>
      </c>
      <c r="L300" s="5" t="s">
        <v>480</v>
      </c>
      <c r="M300" s="5" t="s">
        <v>482</v>
      </c>
      <c r="N300" s="5" t="s">
        <v>481</v>
      </c>
      <c r="O300" s="5" t="s">
        <v>483</v>
      </c>
      <c r="P300" s="5">
        <v>0</v>
      </c>
      <c r="Q300" s="5">
        <v>130</v>
      </c>
      <c r="R300" s="5">
        <v>0</v>
      </c>
      <c r="S300" s="5" t="s">
        <v>21</v>
      </c>
      <c r="T300" s="5">
        <v>130</v>
      </c>
      <c r="U300" s="24"/>
      <c r="V300" s="5" t="s">
        <v>816</v>
      </c>
    </row>
    <row r="301" spans="1:22" x14ac:dyDescent="0.3">
      <c r="A301" s="5">
        <v>300</v>
      </c>
      <c r="B301" s="5" t="s">
        <v>333</v>
      </c>
      <c r="C301" s="5">
        <v>95126</v>
      </c>
      <c r="D301" s="5" t="str">
        <f>"264-26-030"</f>
        <v>264-26-030</v>
      </c>
      <c r="E301" s="5" t="s">
        <v>548</v>
      </c>
      <c r="F301" s="5" t="s">
        <v>20</v>
      </c>
      <c r="G301" s="22" t="s">
        <v>584</v>
      </c>
      <c r="H301" s="22">
        <v>0</v>
      </c>
      <c r="I301" s="5">
        <v>800</v>
      </c>
      <c r="J301" s="23">
        <v>6.3768845361435497E-2</v>
      </c>
      <c r="K301" s="22" t="s">
        <v>580</v>
      </c>
      <c r="L301" s="5" t="s">
        <v>480</v>
      </c>
      <c r="M301" s="5" t="s">
        <v>482</v>
      </c>
      <c r="N301" s="5" t="s">
        <v>481</v>
      </c>
      <c r="O301" s="5" t="s">
        <v>483</v>
      </c>
      <c r="P301" s="5">
        <v>0</v>
      </c>
      <c r="Q301" s="5">
        <v>9</v>
      </c>
      <c r="R301" s="5">
        <v>0</v>
      </c>
      <c r="S301" s="5" t="s">
        <v>21</v>
      </c>
      <c r="T301" s="5">
        <v>9</v>
      </c>
      <c r="U301" s="24"/>
      <c r="V301" s="5" t="s">
        <v>773</v>
      </c>
    </row>
    <row r="302" spans="1:22" x14ac:dyDescent="0.3">
      <c r="A302" s="5">
        <v>301</v>
      </c>
      <c r="B302" s="5" t="s">
        <v>259</v>
      </c>
      <c r="C302" s="5">
        <v>95110</v>
      </c>
      <c r="D302" s="5" t="str">
        <f>"259-46-057"</f>
        <v>259-46-057</v>
      </c>
      <c r="E302" s="5" t="s">
        <v>532</v>
      </c>
      <c r="F302" s="5" t="s">
        <v>20</v>
      </c>
      <c r="G302" s="22" t="s">
        <v>584</v>
      </c>
      <c r="H302" s="22">
        <v>0</v>
      </c>
      <c r="I302" s="5">
        <v>800</v>
      </c>
      <c r="J302" s="23">
        <v>0.13712177964914801</v>
      </c>
      <c r="K302" s="22" t="s">
        <v>577</v>
      </c>
      <c r="L302" s="5" t="s">
        <v>480</v>
      </c>
      <c r="M302" s="5" t="s">
        <v>482</v>
      </c>
      <c r="N302" s="5" t="s">
        <v>481</v>
      </c>
      <c r="O302" s="5" t="s">
        <v>483</v>
      </c>
      <c r="P302" s="5">
        <v>0</v>
      </c>
      <c r="Q302" s="5">
        <v>16</v>
      </c>
      <c r="R302" s="5">
        <v>0</v>
      </c>
      <c r="S302" s="5" t="s">
        <v>21</v>
      </c>
      <c r="T302" s="5">
        <v>16</v>
      </c>
      <c r="U302" s="24"/>
      <c r="V302" s="5" t="s">
        <v>614</v>
      </c>
    </row>
    <row r="303" spans="1:22" x14ac:dyDescent="0.3">
      <c r="A303" s="5">
        <v>302</v>
      </c>
      <c r="B303" s="5" t="s">
        <v>271</v>
      </c>
      <c r="C303" s="5">
        <v>95126</v>
      </c>
      <c r="D303" s="5" t="str">
        <f>"259-47-035"</f>
        <v>259-47-035</v>
      </c>
      <c r="E303" s="5" t="s">
        <v>534</v>
      </c>
      <c r="F303" s="5" t="s">
        <v>20</v>
      </c>
      <c r="G303" s="22" t="s">
        <v>584</v>
      </c>
      <c r="H303" s="22">
        <v>0</v>
      </c>
      <c r="I303" s="5">
        <v>800</v>
      </c>
      <c r="J303" s="23">
        <v>0.111073866043733</v>
      </c>
      <c r="K303" s="22" t="s">
        <v>582</v>
      </c>
      <c r="L303" s="5" t="s">
        <v>480</v>
      </c>
      <c r="M303" s="5" t="s">
        <v>482</v>
      </c>
      <c r="N303" s="5" t="s">
        <v>481</v>
      </c>
      <c r="O303" s="5" t="s">
        <v>483</v>
      </c>
      <c r="P303" s="5">
        <v>0</v>
      </c>
      <c r="Q303" s="5">
        <v>17</v>
      </c>
      <c r="R303" s="5">
        <v>0</v>
      </c>
      <c r="S303" s="5" t="s">
        <v>21</v>
      </c>
      <c r="T303" s="5">
        <v>17</v>
      </c>
      <c r="U303" s="24"/>
      <c r="V303" s="5" t="s">
        <v>660</v>
      </c>
    </row>
    <row r="304" spans="1:22" x14ac:dyDescent="0.3">
      <c r="A304" s="5">
        <v>303</v>
      </c>
      <c r="B304" s="5" t="s">
        <v>78</v>
      </c>
      <c r="C304" s="5">
        <v>95126</v>
      </c>
      <c r="D304" s="5" t="str">
        <f>"264-16-029"</f>
        <v>264-16-029</v>
      </c>
      <c r="E304" s="5" t="s">
        <v>570</v>
      </c>
      <c r="F304" s="5" t="s">
        <v>50</v>
      </c>
      <c r="G304" s="22" t="s">
        <v>96</v>
      </c>
      <c r="H304" s="22">
        <v>30</v>
      </c>
      <c r="I304" s="5">
        <v>95</v>
      </c>
      <c r="J304" s="23">
        <v>0.105167194238552</v>
      </c>
      <c r="K304" s="22" t="s">
        <v>582</v>
      </c>
      <c r="L304" s="5" t="s">
        <v>480</v>
      </c>
      <c r="M304" s="5" t="s">
        <v>482</v>
      </c>
      <c r="N304" s="5" t="s">
        <v>481</v>
      </c>
      <c r="O304" s="5" t="s">
        <v>483</v>
      </c>
      <c r="P304" s="25">
        <v>0</v>
      </c>
      <c r="Q304" s="5">
        <v>5</v>
      </c>
      <c r="R304" s="5">
        <v>0</v>
      </c>
      <c r="S304" s="5" t="s">
        <v>21</v>
      </c>
      <c r="T304" s="5">
        <v>5</v>
      </c>
      <c r="U304" s="24"/>
      <c r="V304" s="5" t="s">
        <v>694</v>
      </c>
    </row>
    <row r="305" spans="1:22" x14ac:dyDescent="0.3">
      <c r="A305" s="5">
        <v>304</v>
      </c>
      <c r="B305" s="5" t="s">
        <v>325</v>
      </c>
      <c r="C305" s="5">
        <v>95126</v>
      </c>
      <c r="D305" s="5" t="str">
        <f>"264-20-073"</f>
        <v>264-20-073</v>
      </c>
      <c r="E305" s="5" t="s">
        <v>545</v>
      </c>
      <c r="F305" s="5" t="s">
        <v>20</v>
      </c>
      <c r="G305" s="22" t="s">
        <v>584</v>
      </c>
      <c r="H305" s="22">
        <v>0</v>
      </c>
      <c r="I305" s="5">
        <v>800</v>
      </c>
      <c r="J305" s="23">
        <v>0.116952562487923</v>
      </c>
      <c r="K305" s="22" t="s">
        <v>582</v>
      </c>
      <c r="L305" s="5" t="s">
        <v>480</v>
      </c>
      <c r="M305" s="5" t="s">
        <v>482</v>
      </c>
      <c r="N305" s="5" t="s">
        <v>481</v>
      </c>
      <c r="O305" s="5" t="s">
        <v>483</v>
      </c>
      <c r="P305" s="5">
        <v>0</v>
      </c>
      <c r="Q305" s="5">
        <v>18</v>
      </c>
      <c r="R305" s="5">
        <v>0</v>
      </c>
      <c r="S305" s="5" t="s">
        <v>21</v>
      </c>
      <c r="T305" s="5">
        <v>18</v>
      </c>
      <c r="U305" s="24"/>
      <c r="V305" s="5" t="s">
        <v>660</v>
      </c>
    </row>
    <row r="306" spans="1:22" x14ac:dyDescent="0.3">
      <c r="A306" s="5">
        <v>305</v>
      </c>
      <c r="B306" s="5" t="s">
        <v>441</v>
      </c>
      <c r="C306" s="5">
        <v>95002</v>
      </c>
      <c r="D306" s="5" t="str">
        <f>"015-03-041"</f>
        <v>015-03-041</v>
      </c>
      <c r="E306" s="5"/>
      <c r="F306" s="5" t="s">
        <v>33</v>
      </c>
      <c r="G306" s="22" t="s">
        <v>590</v>
      </c>
      <c r="H306" s="22">
        <v>0</v>
      </c>
      <c r="I306" s="5">
        <v>30</v>
      </c>
      <c r="J306" s="23">
        <v>0.97574009852044696</v>
      </c>
      <c r="K306" s="22" t="s">
        <v>580</v>
      </c>
      <c r="L306" s="5" t="s">
        <v>480</v>
      </c>
      <c r="M306" s="5" t="s">
        <v>482</v>
      </c>
      <c r="N306" s="5" t="s">
        <v>481</v>
      </c>
      <c r="O306" s="5" t="s">
        <v>483</v>
      </c>
      <c r="P306" s="5">
        <v>0</v>
      </c>
      <c r="Q306" s="5">
        <v>16</v>
      </c>
      <c r="R306" s="5">
        <v>0</v>
      </c>
      <c r="S306" s="5" t="s">
        <v>21</v>
      </c>
      <c r="T306" s="5">
        <v>16</v>
      </c>
      <c r="U306" s="24"/>
      <c r="V306" s="5" t="s">
        <v>836</v>
      </c>
    </row>
    <row r="307" spans="1:22" x14ac:dyDescent="0.3">
      <c r="A307" s="5">
        <v>306</v>
      </c>
      <c r="B307" s="5" t="s">
        <v>347</v>
      </c>
      <c r="C307" s="5">
        <v>95113</v>
      </c>
      <c r="D307" s="5" t="str">
        <f>"467-01-011"</f>
        <v>467-01-011</v>
      </c>
      <c r="E307" s="5"/>
      <c r="F307" s="5" t="s">
        <v>20</v>
      </c>
      <c r="G307" s="22" t="s">
        <v>584</v>
      </c>
      <c r="H307" s="22">
        <v>0</v>
      </c>
      <c r="I307" s="5">
        <v>800</v>
      </c>
      <c r="J307" s="23">
        <v>0.28748991614699898</v>
      </c>
      <c r="K307" s="22" t="s">
        <v>576</v>
      </c>
      <c r="L307" s="5" t="s">
        <v>480</v>
      </c>
      <c r="M307" s="5" t="s">
        <v>482</v>
      </c>
      <c r="N307" s="5" t="s">
        <v>481</v>
      </c>
      <c r="O307" s="5" t="s">
        <v>483</v>
      </c>
      <c r="P307" s="5">
        <v>0</v>
      </c>
      <c r="Q307" s="5">
        <v>51</v>
      </c>
      <c r="R307" s="5">
        <v>0</v>
      </c>
      <c r="S307" s="5" t="s">
        <v>21</v>
      </c>
      <c r="T307" s="5">
        <v>51</v>
      </c>
      <c r="U307" s="24"/>
      <c r="V307" s="5" t="s">
        <v>660</v>
      </c>
    </row>
    <row r="308" spans="1:22" x14ac:dyDescent="0.3">
      <c r="A308" s="5">
        <v>307</v>
      </c>
      <c r="B308" s="5" t="s">
        <v>78</v>
      </c>
      <c r="C308" s="5">
        <v>95110</v>
      </c>
      <c r="D308" s="5" t="str">
        <f>"259-31-077"</f>
        <v>259-31-077</v>
      </c>
      <c r="E308" s="5" t="s">
        <v>573</v>
      </c>
      <c r="F308" s="5" t="s">
        <v>20</v>
      </c>
      <c r="G308" s="22" t="s">
        <v>584</v>
      </c>
      <c r="H308" s="22">
        <v>0</v>
      </c>
      <c r="I308" s="5">
        <v>800</v>
      </c>
      <c r="J308" s="23">
        <v>0.12452095156132501</v>
      </c>
      <c r="K308" s="22" t="s">
        <v>577</v>
      </c>
      <c r="L308" s="5" t="s">
        <v>480</v>
      </c>
      <c r="M308" s="5" t="s">
        <v>482</v>
      </c>
      <c r="N308" s="5" t="s">
        <v>481</v>
      </c>
      <c r="O308" s="5" t="s">
        <v>483</v>
      </c>
      <c r="P308" s="5">
        <v>0</v>
      </c>
      <c r="Q308" s="5">
        <v>14</v>
      </c>
      <c r="R308" s="5">
        <v>0</v>
      </c>
      <c r="S308" s="5" t="s">
        <v>21</v>
      </c>
      <c r="T308" s="5">
        <v>14</v>
      </c>
      <c r="U308" s="24" t="s">
        <v>595</v>
      </c>
      <c r="V308" s="5" t="s">
        <v>600</v>
      </c>
    </row>
    <row r="309" spans="1:22" x14ac:dyDescent="0.3">
      <c r="A309" s="5">
        <v>308</v>
      </c>
      <c r="B309" s="5" t="s">
        <v>275</v>
      </c>
      <c r="C309" s="5">
        <v>95110</v>
      </c>
      <c r="D309" s="5" t="str">
        <f>"259-47-049"</f>
        <v>259-47-049</v>
      </c>
      <c r="E309" s="5" t="s">
        <v>536</v>
      </c>
      <c r="F309" s="5" t="s">
        <v>20</v>
      </c>
      <c r="G309" s="22" t="s">
        <v>584</v>
      </c>
      <c r="H309" s="22">
        <v>0</v>
      </c>
      <c r="I309" s="5">
        <v>800</v>
      </c>
      <c r="J309" s="23">
        <v>7.6626114563122696E-2</v>
      </c>
      <c r="K309" s="22" t="s">
        <v>582</v>
      </c>
      <c r="L309" s="5" t="s">
        <v>480</v>
      </c>
      <c r="M309" s="5" t="s">
        <v>482</v>
      </c>
      <c r="N309" s="5" t="s">
        <v>481</v>
      </c>
      <c r="O309" s="5" t="s">
        <v>483</v>
      </c>
      <c r="P309" s="5">
        <v>0</v>
      </c>
      <c r="Q309" s="5">
        <v>12</v>
      </c>
      <c r="R309" s="5">
        <v>0</v>
      </c>
      <c r="S309" s="5" t="s">
        <v>21</v>
      </c>
      <c r="T309" s="5">
        <v>12</v>
      </c>
      <c r="U309" s="24"/>
      <c r="V309" s="5" t="s">
        <v>660</v>
      </c>
    </row>
    <row r="310" spans="1:22" x14ac:dyDescent="0.3">
      <c r="A310" s="5">
        <v>309</v>
      </c>
      <c r="B310" s="5" t="s">
        <v>394</v>
      </c>
      <c r="C310" s="5">
        <v>95116</v>
      </c>
      <c r="D310" s="5" t="str">
        <f>"481-21-014"</f>
        <v>481-21-014</v>
      </c>
      <c r="E310" s="5"/>
      <c r="F310" s="5" t="s">
        <v>9</v>
      </c>
      <c r="G310" s="22" t="s">
        <v>585</v>
      </c>
      <c r="H310" s="22">
        <v>0</v>
      </c>
      <c r="I310" s="5">
        <v>250</v>
      </c>
      <c r="J310" s="23">
        <v>0.59446458927231505</v>
      </c>
      <c r="K310" s="22" t="s">
        <v>580</v>
      </c>
      <c r="L310" s="5" t="s">
        <v>480</v>
      </c>
      <c r="M310" s="5" t="s">
        <v>482</v>
      </c>
      <c r="N310" s="5" t="s">
        <v>481</v>
      </c>
      <c r="O310" s="5" t="s">
        <v>483</v>
      </c>
      <c r="P310" s="5">
        <v>0</v>
      </c>
      <c r="Q310" s="5">
        <v>33</v>
      </c>
      <c r="R310" s="5">
        <v>0</v>
      </c>
      <c r="S310" s="5" t="s">
        <v>21</v>
      </c>
      <c r="T310" s="5">
        <v>33</v>
      </c>
      <c r="U310" s="24"/>
      <c r="V310" s="5" t="s">
        <v>788</v>
      </c>
    </row>
    <row r="311" spans="1:22" x14ac:dyDescent="0.3">
      <c r="A311" s="5">
        <v>310</v>
      </c>
      <c r="B311" s="5" t="s">
        <v>154</v>
      </c>
      <c r="C311" s="5">
        <v>95117</v>
      </c>
      <c r="D311" s="5" t="str">
        <f>"303-26-059"</f>
        <v>303-26-059</v>
      </c>
      <c r="E311" s="5" t="s">
        <v>512</v>
      </c>
      <c r="F311" s="5" t="s">
        <v>9</v>
      </c>
      <c r="G311" s="22" t="s">
        <v>18</v>
      </c>
      <c r="H311" s="22">
        <v>65</v>
      </c>
      <c r="I311" s="5">
        <v>250</v>
      </c>
      <c r="J311" s="23">
        <v>0.32624606606544099</v>
      </c>
      <c r="K311" s="22" t="s">
        <v>576</v>
      </c>
      <c r="L311" s="5" t="s">
        <v>480</v>
      </c>
      <c r="M311" s="5" t="s">
        <v>482</v>
      </c>
      <c r="N311" s="5" t="s">
        <v>481</v>
      </c>
      <c r="O311" s="5" t="s">
        <v>483</v>
      </c>
      <c r="P311" s="5">
        <v>0</v>
      </c>
      <c r="Q311" s="5">
        <v>21</v>
      </c>
      <c r="R311" s="5">
        <v>0</v>
      </c>
      <c r="S311" s="5" t="s">
        <v>21</v>
      </c>
      <c r="T311" s="5">
        <v>21</v>
      </c>
      <c r="U311" s="24"/>
      <c r="V311" s="5" t="s">
        <v>686</v>
      </c>
    </row>
    <row r="312" spans="1:22" x14ac:dyDescent="0.3">
      <c r="A312" s="5">
        <v>311</v>
      </c>
      <c r="B312" s="5" t="s">
        <v>384</v>
      </c>
      <c r="C312" s="5">
        <v>95112</v>
      </c>
      <c r="D312" s="5" t="str">
        <f>"472-27-010"</f>
        <v>472-27-010</v>
      </c>
      <c r="E312" s="5"/>
      <c r="F312" s="5" t="s">
        <v>20</v>
      </c>
      <c r="G312" s="22" t="s">
        <v>584</v>
      </c>
      <c r="H312" s="22">
        <v>0</v>
      </c>
      <c r="I312" s="5">
        <v>800</v>
      </c>
      <c r="J312" s="23">
        <v>6.4465045307531693E-2</v>
      </c>
      <c r="K312" s="22" t="s">
        <v>576</v>
      </c>
      <c r="L312" s="5" t="s">
        <v>480</v>
      </c>
      <c r="M312" s="5" t="s">
        <v>482</v>
      </c>
      <c r="N312" s="5" t="s">
        <v>481</v>
      </c>
      <c r="O312" s="5" t="s">
        <v>483</v>
      </c>
      <c r="P312" s="5">
        <v>0</v>
      </c>
      <c r="Q312" s="5">
        <v>8</v>
      </c>
      <c r="R312" s="5">
        <v>0</v>
      </c>
      <c r="S312" s="5" t="s">
        <v>21</v>
      </c>
      <c r="T312" s="5">
        <v>8</v>
      </c>
      <c r="U312" s="24"/>
      <c r="V312" s="5" t="s">
        <v>596</v>
      </c>
    </row>
    <row r="313" spans="1:22" x14ac:dyDescent="0.3">
      <c r="A313" s="5">
        <v>312</v>
      </c>
      <c r="B313" s="5" t="s">
        <v>341</v>
      </c>
      <c r="C313" s="5">
        <v>95126</v>
      </c>
      <c r="D313" s="5" t="str">
        <f>"264-26-002"</f>
        <v>264-26-002</v>
      </c>
      <c r="E313" s="5" t="s">
        <v>549</v>
      </c>
      <c r="F313" s="5" t="s">
        <v>20</v>
      </c>
      <c r="G313" s="22" t="s">
        <v>584</v>
      </c>
      <c r="H313" s="22">
        <v>0</v>
      </c>
      <c r="I313" s="5">
        <v>800</v>
      </c>
      <c r="J313" s="23">
        <v>0.115432169754815</v>
      </c>
      <c r="K313" s="22" t="s">
        <v>581</v>
      </c>
      <c r="L313" s="5" t="s">
        <v>480</v>
      </c>
      <c r="M313" s="5" t="s">
        <v>482</v>
      </c>
      <c r="N313" s="5" t="s">
        <v>481</v>
      </c>
      <c r="O313" s="5" t="s">
        <v>483</v>
      </c>
      <c r="P313" s="5">
        <v>0</v>
      </c>
      <c r="Q313" s="5">
        <v>15</v>
      </c>
      <c r="R313" s="5">
        <v>0</v>
      </c>
      <c r="S313" s="5" t="s">
        <v>21</v>
      </c>
      <c r="T313" s="5">
        <v>15</v>
      </c>
      <c r="U313" s="24"/>
      <c r="V313" s="5" t="s">
        <v>776</v>
      </c>
    </row>
    <row r="314" spans="1:22" x14ac:dyDescent="0.3">
      <c r="A314" s="5">
        <v>313</v>
      </c>
      <c r="B314" s="5" t="s">
        <v>267</v>
      </c>
      <c r="C314" s="5">
        <v>95126</v>
      </c>
      <c r="D314" s="5" t="str">
        <f>"259-47-031"</f>
        <v>259-47-031</v>
      </c>
      <c r="E314" s="5" t="s">
        <v>534</v>
      </c>
      <c r="F314" s="5" t="s">
        <v>20</v>
      </c>
      <c r="G314" s="22" t="s">
        <v>584</v>
      </c>
      <c r="H314" s="22">
        <v>0</v>
      </c>
      <c r="I314" s="5">
        <v>800</v>
      </c>
      <c r="J314" s="23">
        <v>0.11098784201309</v>
      </c>
      <c r="K314" s="22" t="s">
        <v>580</v>
      </c>
      <c r="L314" s="5" t="s">
        <v>480</v>
      </c>
      <c r="M314" s="5" t="s">
        <v>482</v>
      </c>
      <c r="N314" s="5" t="s">
        <v>481</v>
      </c>
      <c r="O314" s="5" t="s">
        <v>483</v>
      </c>
      <c r="P314" s="5">
        <v>0</v>
      </c>
      <c r="Q314" s="5">
        <v>17</v>
      </c>
      <c r="R314" s="5">
        <v>0</v>
      </c>
      <c r="S314" s="5" t="s">
        <v>21</v>
      </c>
      <c r="T314" s="5">
        <v>17</v>
      </c>
      <c r="U314" s="24"/>
      <c r="V314" s="5" t="s">
        <v>745</v>
      </c>
    </row>
    <row r="315" spans="1:22" x14ac:dyDescent="0.3">
      <c r="A315" s="5">
        <v>314</v>
      </c>
      <c r="B315" s="5" t="s">
        <v>146</v>
      </c>
      <c r="C315" s="5">
        <v>95129</v>
      </c>
      <c r="D315" s="5" t="str">
        <f>"303-25-031"</f>
        <v>303-25-031</v>
      </c>
      <c r="E315" s="5" t="s">
        <v>511</v>
      </c>
      <c r="F315" s="5" t="s">
        <v>9</v>
      </c>
      <c r="G315" s="22" t="s">
        <v>18</v>
      </c>
      <c r="H315" s="22">
        <v>65</v>
      </c>
      <c r="I315" s="5">
        <v>250</v>
      </c>
      <c r="J315" s="23">
        <v>0.39002481073331502</v>
      </c>
      <c r="K315" s="22" t="s">
        <v>576</v>
      </c>
      <c r="L315" s="5" t="s">
        <v>480</v>
      </c>
      <c r="M315" s="5" t="s">
        <v>482</v>
      </c>
      <c r="N315" s="5" t="s">
        <v>481</v>
      </c>
      <c r="O315" s="5" t="s">
        <v>483</v>
      </c>
      <c r="P315" s="5">
        <v>0</v>
      </c>
      <c r="Q315" s="5">
        <v>25</v>
      </c>
      <c r="R315" s="5">
        <v>0</v>
      </c>
      <c r="S315" s="5" t="s">
        <v>21</v>
      </c>
      <c r="T315" s="5">
        <v>25</v>
      </c>
      <c r="U315" s="24"/>
      <c r="V315" s="5" t="s">
        <v>627</v>
      </c>
    </row>
    <row r="316" spans="1:22" x14ac:dyDescent="0.3">
      <c r="A316" s="5">
        <v>315</v>
      </c>
      <c r="B316" s="5" t="s">
        <v>251</v>
      </c>
      <c r="C316" s="5">
        <v>95110</v>
      </c>
      <c r="D316" s="5" t="str">
        <f>"259-46-066"</f>
        <v>259-46-066</v>
      </c>
      <c r="E316" s="5" t="s">
        <v>531</v>
      </c>
      <c r="F316" s="5" t="s">
        <v>20</v>
      </c>
      <c r="G316" s="22" t="s">
        <v>584</v>
      </c>
      <c r="H316" s="22">
        <v>0</v>
      </c>
      <c r="I316" s="5">
        <v>800</v>
      </c>
      <c r="J316" s="23">
        <v>0.14290269766743299</v>
      </c>
      <c r="K316" s="22" t="s">
        <v>576</v>
      </c>
      <c r="L316" s="5" t="s">
        <v>480</v>
      </c>
      <c r="M316" s="5" t="s">
        <v>482</v>
      </c>
      <c r="N316" s="5" t="s">
        <v>481</v>
      </c>
      <c r="O316" s="5" t="s">
        <v>483</v>
      </c>
      <c r="P316" s="5">
        <v>0</v>
      </c>
      <c r="Q316" s="5">
        <v>18</v>
      </c>
      <c r="R316" s="5">
        <v>0</v>
      </c>
      <c r="S316" s="5" t="s">
        <v>21</v>
      </c>
      <c r="T316" s="5">
        <v>18</v>
      </c>
      <c r="U316" s="24"/>
      <c r="V316" s="5" t="s">
        <v>738</v>
      </c>
    </row>
    <row r="317" spans="1:22" x14ac:dyDescent="0.3">
      <c r="A317" s="5">
        <v>316</v>
      </c>
      <c r="B317" s="5" t="s">
        <v>389</v>
      </c>
      <c r="C317" s="5">
        <v>95116</v>
      </c>
      <c r="D317" s="5" t="str">
        <f>"481-06-091"</f>
        <v>481-06-091</v>
      </c>
      <c r="E317" s="5"/>
      <c r="F317" s="5" t="s">
        <v>9</v>
      </c>
      <c r="G317" s="22" t="s">
        <v>585</v>
      </c>
      <c r="H317" s="22">
        <v>0</v>
      </c>
      <c r="I317" s="5">
        <v>250</v>
      </c>
      <c r="J317" s="23">
        <v>1.0347688596783999</v>
      </c>
      <c r="K317" s="22" t="s">
        <v>576</v>
      </c>
      <c r="L317" s="5" t="s">
        <v>480</v>
      </c>
      <c r="M317" s="5" t="s">
        <v>482</v>
      </c>
      <c r="N317" s="5" t="s">
        <v>481</v>
      </c>
      <c r="O317" s="5" t="s">
        <v>483</v>
      </c>
      <c r="P317" s="5">
        <v>0</v>
      </c>
      <c r="Q317" s="5">
        <v>51</v>
      </c>
      <c r="R317" s="5">
        <v>0</v>
      </c>
      <c r="S317" s="5" t="s">
        <v>21</v>
      </c>
      <c r="T317" s="5">
        <v>51</v>
      </c>
      <c r="U317" s="24"/>
      <c r="V317" s="5" t="s">
        <v>789</v>
      </c>
    </row>
    <row r="318" spans="1:22" x14ac:dyDescent="0.3">
      <c r="A318" s="5">
        <v>317</v>
      </c>
      <c r="B318" s="5" t="s">
        <v>257</v>
      </c>
      <c r="C318" s="5">
        <v>95110</v>
      </c>
      <c r="D318" s="5" t="str">
        <f>"259-46-055"</f>
        <v>259-46-055</v>
      </c>
      <c r="E318" s="5" t="s">
        <v>532</v>
      </c>
      <c r="F318" s="5" t="s">
        <v>20</v>
      </c>
      <c r="G318" s="22" t="s">
        <v>584</v>
      </c>
      <c r="H318" s="22">
        <v>0</v>
      </c>
      <c r="I318" s="5">
        <v>800</v>
      </c>
      <c r="J318" s="23">
        <v>0.13700220195826199</v>
      </c>
      <c r="K318" s="22" t="s">
        <v>577</v>
      </c>
      <c r="L318" s="5" t="s">
        <v>480</v>
      </c>
      <c r="M318" s="5" t="s">
        <v>482</v>
      </c>
      <c r="N318" s="5" t="s">
        <v>481</v>
      </c>
      <c r="O318" s="5" t="s">
        <v>483</v>
      </c>
      <c r="P318" s="5">
        <v>0</v>
      </c>
      <c r="Q318" s="5">
        <v>16</v>
      </c>
      <c r="R318" s="5">
        <v>0</v>
      </c>
      <c r="S318" s="5" t="s">
        <v>21</v>
      </c>
      <c r="T318" s="5">
        <v>16</v>
      </c>
      <c r="U318" s="24"/>
      <c r="V318" s="5" t="s">
        <v>614</v>
      </c>
    </row>
    <row r="319" spans="1:22" x14ac:dyDescent="0.3">
      <c r="A319" s="5">
        <v>318</v>
      </c>
      <c r="B319" s="5" t="s">
        <v>248</v>
      </c>
      <c r="C319" s="5">
        <v>95110</v>
      </c>
      <c r="D319" s="5" t="str">
        <f>"259-46-044"</f>
        <v>259-46-044</v>
      </c>
      <c r="E319" s="5" t="s">
        <v>530</v>
      </c>
      <c r="F319" s="5" t="s">
        <v>20</v>
      </c>
      <c r="G319" s="22" t="s">
        <v>584</v>
      </c>
      <c r="H319" s="22">
        <v>0</v>
      </c>
      <c r="I319" s="5">
        <v>800</v>
      </c>
      <c r="J319" s="23">
        <v>0.13843613423988299</v>
      </c>
      <c r="K319" s="22" t="s">
        <v>577</v>
      </c>
      <c r="L319" s="5" t="s">
        <v>480</v>
      </c>
      <c r="M319" s="5" t="s">
        <v>482</v>
      </c>
      <c r="N319" s="5" t="s">
        <v>481</v>
      </c>
      <c r="O319" s="5" t="s">
        <v>483</v>
      </c>
      <c r="P319" s="5">
        <v>0</v>
      </c>
      <c r="Q319" s="5">
        <v>16</v>
      </c>
      <c r="R319" s="5">
        <v>0</v>
      </c>
      <c r="S319" s="5" t="s">
        <v>21</v>
      </c>
      <c r="T319" s="5">
        <v>16</v>
      </c>
      <c r="U319" s="24"/>
      <c r="V319" s="5" t="s">
        <v>614</v>
      </c>
    </row>
    <row r="320" spans="1:22" x14ac:dyDescent="0.3">
      <c r="A320" s="5">
        <v>319</v>
      </c>
      <c r="B320" s="5" t="s">
        <v>78</v>
      </c>
      <c r="C320" s="5">
        <v>95113</v>
      </c>
      <c r="D320" s="5" t="str">
        <f>"264-30-035"</f>
        <v>264-30-035</v>
      </c>
      <c r="E320" s="5"/>
      <c r="F320" s="5" t="s">
        <v>20</v>
      </c>
      <c r="G320" s="22" t="s">
        <v>594</v>
      </c>
      <c r="H320" s="22">
        <v>0</v>
      </c>
      <c r="I320" s="5">
        <v>800</v>
      </c>
      <c r="J320" s="23">
        <v>0.115692034730958</v>
      </c>
      <c r="K320" s="22" t="s">
        <v>582</v>
      </c>
      <c r="L320" s="5" t="s">
        <v>480</v>
      </c>
      <c r="M320" s="5" t="s">
        <v>482</v>
      </c>
      <c r="N320" s="5" t="s">
        <v>481</v>
      </c>
      <c r="O320" s="5" t="s">
        <v>483</v>
      </c>
      <c r="P320" s="5">
        <v>0</v>
      </c>
      <c r="Q320" s="5">
        <v>17</v>
      </c>
      <c r="R320" s="5">
        <v>0</v>
      </c>
      <c r="S320" s="5" t="s">
        <v>21</v>
      </c>
      <c r="T320" s="5">
        <v>17</v>
      </c>
      <c r="U320" s="24"/>
      <c r="V320" s="5" t="s">
        <v>819</v>
      </c>
    </row>
    <row r="321" spans="1:22" x14ac:dyDescent="0.3">
      <c r="A321" s="5">
        <v>320</v>
      </c>
      <c r="B321" s="5" t="s">
        <v>342</v>
      </c>
      <c r="C321" s="5">
        <v>95113</v>
      </c>
      <c r="D321" s="5" t="str">
        <f>"264-30-081"</f>
        <v>264-30-081</v>
      </c>
      <c r="E321" s="5" t="s">
        <v>550</v>
      </c>
      <c r="F321" s="5" t="s">
        <v>20</v>
      </c>
      <c r="G321" s="22" t="s">
        <v>584</v>
      </c>
      <c r="H321" s="22">
        <v>0</v>
      </c>
      <c r="I321" s="5">
        <v>800</v>
      </c>
      <c r="J321" s="23">
        <v>0.14554304738552301</v>
      </c>
      <c r="K321" s="22" t="s">
        <v>576</v>
      </c>
      <c r="L321" s="5" t="s">
        <v>480</v>
      </c>
      <c r="M321" s="5" t="s">
        <v>482</v>
      </c>
      <c r="N321" s="5" t="s">
        <v>481</v>
      </c>
      <c r="O321" s="5" t="s">
        <v>483</v>
      </c>
      <c r="P321" s="5">
        <v>0</v>
      </c>
      <c r="Q321" s="5">
        <v>21</v>
      </c>
      <c r="R321" s="5">
        <v>0</v>
      </c>
      <c r="S321" s="5" t="s">
        <v>21</v>
      </c>
      <c r="T321" s="5">
        <v>21</v>
      </c>
      <c r="U321" s="24"/>
      <c r="V321" s="5" t="s">
        <v>660</v>
      </c>
    </row>
    <row r="322" spans="1:22" x14ac:dyDescent="0.3">
      <c r="A322" s="5">
        <v>321</v>
      </c>
      <c r="B322" s="5" t="s">
        <v>381</v>
      </c>
      <c r="C322" s="5">
        <v>95112</v>
      </c>
      <c r="D322" s="5" t="str">
        <f>"472-26-085"</f>
        <v>472-26-085</v>
      </c>
      <c r="E322" s="5" t="s">
        <v>559</v>
      </c>
      <c r="F322" s="5" t="s">
        <v>20</v>
      </c>
      <c r="G322" s="22" t="s">
        <v>584</v>
      </c>
      <c r="H322" s="22">
        <v>0</v>
      </c>
      <c r="I322" s="5">
        <v>800</v>
      </c>
      <c r="J322" s="23">
        <v>0.15030920893880401</v>
      </c>
      <c r="K322" s="22" t="s">
        <v>577</v>
      </c>
      <c r="L322" s="5" t="s">
        <v>480</v>
      </c>
      <c r="M322" s="5" t="s">
        <v>482</v>
      </c>
      <c r="N322" s="5" t="s">
        <v>481</v>
      </c>
      <c r="O322" s="5" t="s">
        <v>483</v>
      </c>
      <c r="P322" s="5">
        <v>0</v>
      </c>
      <c r="Q322" s="5">
        <v>17</v>
      </c>
      <c r="R322" s="5">
        <v>0</v>
      </c>
      <c r="S322" s="5" t="s">
        <v>21</v>
      </c>
      <c r="T322" s="5">
        <v>17</v>
      </c>
      <c r="U322" s="24"/>
      <c r="V322" s="5" t="s">
        <v>660</v>
      </c>
    </row>
    <row r="323" spans="1:22" x14ac:dyDescent="0.3">
      <c r="A323" s="5">
        <v>322</v>
      </c>
      <c r="B323" s="5" t="s">
        <v>255</v>
      </c>
      <c r="C323" s="5">
        <v>95110</v>
      </c>
      <c r="D323" s="5" t="str">
        <f>"259-46-089"</f>
        <v>259-46-089</v>
      </c>
      <c r="E323" s="5" t="s">
        <v>532</v>
      </c>
      <c r="F323" s="5" t="s">
        <v>20</v>
      </c>
      <c r="G323" s="22" t="s">
        <v>584</v>
      </c>
      <c r="H323" s="22">
        <v>0</v>
      </c>
      <c r="I323" s="5">
        <v>800</v>
      </c>
      <c r="J323" s="23">
        <v>0.14284693490156899</v>
      </c>
      <c r="K323" s="22" t="s">
        <v>580</v>
      </c>
      <c r="L323" s="5" t="s">
        <v>480</v>
      </c>
      <c r="M323" s="5" t="s">
        <v>482</v>
      </c>
      <c r="N323" s="5" t="s">
        <v>481</v>
      </c>
      <c r="O323" s="5" t="s">
        <v>483</v>
      </c>
      <c r="P323" s="5">
        <v>0</v>
      </c>
      <c r="Q323" s="5">
        <v>19</v>
      </c>
      <c r="R323" s="5">
        <v>0</v>
      </c>
      <c r="S323" s="5" t="s">
        <v>21</v>
      </c>
      <c r="T323" s="5">
        <v>19</v>
      </c>
      <c r="U323" s="24"/>
      <c r="V323" s="5" t="s">
        <v>741</v>
      </c>
    </row>
    <row r="324" spans="1:22" x14ac:dyDescent="0.3">
      <c r="A324" s="5">
        <v>323</v>
      </c>
      <c r="B324" s="5" t="s">
        <v>279</v>
      </c>
      <c r="C324" s="5">
        <v>95110</v>
      </c>
      <c r="D324" s="5" t="str">
        <f>"259-47-045"</f>
        <v>259-47-045</v>
      </c>
      <c r="E324" s="5" t="s">
        <v>536</v>
      </c>
      <c r="F324" s="5" t="s">
        <v>20</v>
      </c>
      <c r="G324" s="22" t="s">
        <v>584</v>
      </c>
      <c r="H324" s="22">
        <v>0</v>
      </c>
      <c r="I324" s="5">
        <v>800</v>
      </c>
      <c r="J324" s="23">
        <v>7.2530612466713107E-2</v>
      </c>
      <c r="K324" s="22" t="s">
        <v>582</v>
      </c>
      <c r="L324" s="5" t="s">
        <v>480</v>
      </c>
      <c r="M324" s="5" t="s">
        <v>482</v>
      </c>
      <c r="N324" s="5" t="s">
        <v>481</v>
      </c>
      <c r="O324" s="5" t="s">
        <v>483</v>
      </c>
      <c r="P324" s="5">
        <v>0</v>
      </c>
      <c r="Q324" s="5">
        <v>11</v>
      </c>
      <c r="R324" s="5">
        <v>0</v>
      </c>
      <c r="S324" s="5" t="s">
        <v>21</v>
      </c>
      <c r="T324" s="5">
        <v>11</v>
      </c>
      <c r="U324" s="24"/>
      <c r="V324" s="5" t="s">
        <v>746</v>
      </c>
    </row>
    <row r="325" spans="1:22" x14ac:dyDescent="0.3">
      <c r="A325" s="5">
        <v>324</v>
      </c>
      <c r="B325" s="5" t="s">
        <v>78</v>
      </c>
      <c r="C325" s="5">
        <v>95126</v>
      </c>
      <c r="D325" s="5" t="str">
        <f>"264-20-108"</f>
        <v>264-20-108</v>
      </c>
      <c r="E325" s="5"/>
      <c r="F325" s="5" t="s">
        <v>20</v>
      </c>
      <c r="G325" s="22" t="s">
        <v>584</v>
      </c>
      <c r="H325" s="22">
        <v>0</v>
      </c>
      <c r="I325" s="5">
        <v>800</v>
      </c>
      <c r="J325" s="23">
        <v>0.14420408610151</v>
      </c>
      <c r="K325" s="22" t="s">
        <v>580</v>
      </c>
      <c r="L325" s="5" t="s">
        <v>480</v>
      </c>
      <c r="M325" s="5" t="s">
        <v>482</v>
      </c>
      <c r="N325" s="5" t="s">
        <v>481</v>
      </c>
      <c r="O325" s="5" t="s">
        <v>483</v>
      </c>
      <c r="P325" s="5">
        <v>0</v>
      </c>
      <c r="Q325" s="5">
        <v>20</v>
      </c>
      <c r="R325" s="5">
        <v>0</v>
      </c>
      <c r="S325" s="5" t="s">
        <v>21</v>
      </c>
      <c r="T325" s="5">
        <v>20</v>
      </c>
      <c r="U325" s="24"/>
      <c r="V325" s="5" t="s">
        <v>625</v>
      </c>
    </row>
    <row r="326" spans="1:22" x14ac:dyDescent="0.3">
      <c r="A326" s="5">
        <v>325</v>
      </c>
      <c r="B326" s="5" t="s">
        <v>357</v>
      </c>
      <c r="C326" s="5">
        <v>95116</v>
      </c>
      <c r="D326" s="5" t="str">
        <f>"467-11-038"</f>
        <v>467-11-038</v>
      </c>
      <c r="E326" s="5" t="s">
        <v>553</v>
      </c>
      <c r="F326" s="5" t="s">
        <v>9</v>
      </c>
      <c r="G326" s="22" t="s">
        <v>18</v>
      </c>
      <c r="H326" s="22">
        <v>0</v>
      </c>
      <c r="I326" s="5">
        <v>0</v>
      </c>
      <c r="J326" s="23">
        <v>0.642393604956358</v>
      </c>
      <c r="K326" s="22" t="s">
        <v>576</v>
      </c>
      <c r="L326" s="5" t="s">
        <v>480</v>
      </c>
      <c r="M326" s="5" t="s">
        <v>482</v>
      </c>
      <c r="N326" s="5" t="s">
        <v>481</v>
      </c>
      <c r="O326" s="5" t="s">
        <v>483</v>
      </c>
      <c r="P326" s="5">
        <v>0</v>
      </c>
      <c r="Q326" s="5">
        <v>32</v>
      </c>
      <c r="R326" s="5">
        <v>0</v>
      </c>
      <c r="S326" s="5" t="s">
        <v>21</v>
      </c>
      <c r="T326" s="5">
        <v>32</v>
      </c>
      <c r="U326" s="24"/>
      <c r="V326" s="5" t="s">
        <v>614</v>
      </c>
    </row>
    <row r="327" spans="1:22" ht="28.8" x14ac:dyDescent="0.3">
      <c r="A327" s="5">
        <v>326</v>
      </c>
      <c r="B327" s="5" t="s">
        <v>78</v>
      </c>
      <c r="C327" s="5">
        <v>95116</v>
      </c>
      <c r="D327" s="5" t="str">
        <f>"467-08-002"</f>
        <v>467-08-002</v>
      </c>
      <c r="E327" s="5" t="s">
        <v>493</v>
      </c>
      <c r="F327" s="5" t="s">
        <v>9</v>
      </c>
      <c r="G327" s="22" t="s">
        <v>18</v>
      </c>
      <c r="H327" s="22">
        <v>0</v>
      </c>
      <c r="I327" s="5">
        <v>250</v>
      </c>
      <c r="J327" s="23">
        <v>1.57285895528599</v>
      </c>
      <c r="K327" s="22" t="s">
        <v>580</v>
      </c>
      <c r="L327" s="5" t="s">
        <v>480</v>
      </c>
      <c r="M327" s="5" t="s">
        <v>482</v>
      </c>
      <c r="N327" s="5" t="s">
        <v>481</v>
      </c>
      <c r="O327" s="5" t="s">
        <v>483</v>
      </c>
      <c r="P327" s="5">
        <v>0</v>
      </c>
      <c r="Q327" s="5">
        <v>103</v>
      </c>
      <c r="R327" s="5">
        <v>0</v>
      </c>
      <c r="S327" s="5" t="s">
        <v>21</v>
      </c>
      <c r="T327" s="5">
        <v>103</v>
      </c>
      <c r="U327" s="24" t="s">
        <v>617</v>
      </c>
      <c r="V327" s="5" t="s">
        <v>694</v>
      </c>
    </row>
    <row r="328" spans="1:22" x14ac:dyDescent="0.3">
      <c r="A328" s="5">
        <v>327</v>
      </c>
      <c r="B328" s="5" t="s">
        <v>207</v>
      </c>
      <c r="C328" s="5">
        <v>95123</v>
      </c>
      <c r="D328" s="5" t="str">
        <f>"695-11-045"</f>
        <v>695-11-045</v>
      </c>
      <c r="E328" s="5" t="s">
        <v>523</v>
      </c>
      <c r="F328" s="5" t="s">
        <v>54</v>
      </c>
      <c r="G328" s="22" t="s">
        <v>583</v>
      </c>
      <c r="H328" s="22">
        <v>0</v>
      </c>
      <c r="I328" s="5">
        <v>8</v>
      </c>
      <c r="J328" s="23">
        <v>0.50719450612862405</v>
      </c>
      <c r="K328" s="22" t="s">
        <v>577</v>
      </c>
      <c r="L328" s="5" t="s">
        <v>480</v>
      </c>
      <c r="M328" s="5" t="s">
        <v>482</v>
      </c>
      <c r="N328" s="5" t="s">
        <v>481</v>
      </c>
      <c r="O328" s="5" t="s">
        <v>483</v>
      </c>
      <c r="P328" s="5">
        <v>0</v>
      </c>
      <c r="Q328" s="5">
        <v>2</v>
      </c>
      <c r="R328" s="5">
        <v>0</v>
      </c>
      <c r="S328" s="5" t="s">
        <v>21</v>
      </c>
      <c r="T328" s="5">
        <v>2</v>
      </c>
      <c r="U328" s="24"/>
      <c r="V328" s="5" t="s">
        <v>600</v>
      </c>
    </row>
    <row r="329" spans="1:22" x14ac:dyDescent="0.3">
      <c r="A329" s="5">
        <v>328</v>
      </c>
      <c r="B329" s="5" t="s">
        <v>91</v>
      </c>
      <c r="C329" s="5">
        <v>95128</v>
      </c>
      <c r="D329" s="5" t="str">
        <f>"279-08-019"</f>
        <v>279-08-019</v>
      </c>
      <c r="E329" s="5"/>
      <c r="F329" s="5" t="s">
        <v>9</v>
      </c>
      <c r="G329" s="22" t="s">
        <v>18</v>
      </c>
      <c r="H329" s="22">
        <v>65</v>
      </c>
      <c r="I329" s="5">
        <v>250</v>
      </c>
      <c r="J329" s="23">
        <v>0.53051594777476796</v>
      </c>
      <c r="K329" s="22" t="s">
        <v>576</v>
      </c>
      <c r="L329" s="5" t="s">
        <v>480</v>
      </c>
      <c r="M329" s="5" t="s">
        <v>482</v>
      </c>
      <c r="N329" s="5" t="s">
        <v>481</v>
      </c>
      <c r="O329" s="5" t="s">
        <v>483</v>
      </c>
      <c r="P329" s="5">
        <v>0</v>
      </c>
      <c r="Q329" s="5">
        <v>34</v>
      </c>
      <c r="R329" s="5">
        <v>0</v>
      </c>
      <c r="S329" s="5" t="s">
        <v>21</v>
      </c>
      <c r="T329" s="5">
        <v>34</v>
      </c>
      <c r="U329" s="24"/>
      <c r="V329" s="5" t="s">
        <v>642</v>
      </c>
    </row>
    <row r="330" spans="1:22" x14ac:dyDescent="0.3">
      <c r="A330" s="5">
        <v>329</v>
      </c>
      <c r="B330" s="5" t="s">
        <v>385</v>
      </c>
      <c r="C330" s="5">
        <v>95122</v>
      </c>
      <c r="D330" s="5" t="str">
        <f>"477-16-001"</f>
        <v>477-16-001</v>
      </c>
      <c r="E330" s="5"/>
      <c r="F330" s="5" t="s">
        <v>54</v>
      </c>
      <c r="G330" s="22" t="s">
        <v>589</v>
      </c>
      <c r="H330" s="22">
        <v>0</v>
      </c>
      <c r="I330" s="5">
        <v>8</v>
      </c>
      <c r="J330" s="23">
        <v>1.24587393231931</v>
      </c>
      <c r="K330" s="22" t="s">
        <v>581</v>
      </c>
      <c r="L330" s="5" t="s">
        <v>480</v>
      </c>
      <c r="M330" s="5" t="s">
        <v>482</v>
      </c>
      <c r="N330" s="5" t="s">
        <v>481</v>
      </c>
      <c r="O330" s="5" t="s">
        <v>483</v>
      </c>
      <c r="P330" s="5">
        <v>0</v>
      </c>
      <c r="Q330" s="5">
        <v>10</v>
      </c>
      <c r="R330" s="5">
        <v>0</v>
      </c>
      <c r="S330" s="5" t="s">
        <v>21</v>
      </c>
      <c r="T330" s="5">
        <v>10</v>
      </c>
      <c r="U330" s="24"/>
      <c r="V330" s="5" t="s">
        <v>605</v>
      </c>
    </row>
    <row r="331" spans="1:22" x14ac:dyDescent="0.3">
      <c r="A331" s="5">
        <v>330</v>
      </c>
      <c r="B331" s="5" t="s">
        <v>130</v>
      </c>
      <c r="C331" s="5">
        <v>95129</v>
      </c>
      <c r="D331" s="5" t="str">
        <f>"294-40-002"</f>
        <v>294-40-002</v>
      </c>
      <c r="E331" s="5" t="s">
        <v>507</v>
      </c>
      <c r="F331" s="5" t="s">
        <v>9</v>
      </c>
      <c r="G331" s="22" t="s">
        <v>18</v>
      </c>
      <c r="H331" s="22">
        <v>65</v>
      </c>
      <c r="I331" s="5">
        <v>250</v>
      </c>
      <c r="J331" s="23">
        <v>0.17977176826685901</v>
      </c>
      <c r="K331" s="22" t="s">
        <v>576</v>
      </c>
      <c r="L331" s="5" t="s">
        <v>480</v>
      </c>
      <c r="M331" s="5" t="s">
        <v>482</v>
      </c>
      <c r="N331" s="5" t="s">
        <v>481</v>
      </c>
      <c r="O331" s="5" t="s">
        <v>483</v>
      </c>
      <c r="P331" s="5">
        <v>0</v>
      </c>
      <c r="Q331" s="5">
        <v>12</v>
      </c>
      <c r="R331" s="5">
        <v>0</v>
      </c>
      <c r="S331" s="5" t="s">
        <v>21</v>
      </c>
      <c r="T331" s="5">
        <v>12</v>
      </c>
      <c r="U331" s="24"/>
      <c r="V331" s="5" t="s">
        <v>671</v>
      </c>
    </row>
    <row r="332" spans="1:22" x14ac:dyDescent="0.3">
      <c r="A332" s="5">
        <v>331</v>
      </c>
      <c r="B332" s="5" t="s">
        <v>353</v>
      </c>
      <c r="C332" s="5">
        <v>95116</v>
      </c>
      <c r="D332" s="5" t="str">
        <f>"467-08-010"</f>
        <v>467-08-010</v>
      </c>
      <c r="E332" s="5" t="s">
        <v>552</v>
      </c>
      <c r="F332" s="5" t="s">
        <v>9</v>
      </c>
      <c r="G332" s="22" t="s">
        <v>18</v>
      </c>
      <c r="H332" s="22">
        <v>0</v>
      </c>
      <c r="I332" s="5">
        <v>250</v>
      </c>
      <c r="J332" s="23">
        <v>2.6133816755358099</v>
      </c>
      <c r="K332" s="22" t="s">
        <v>580</v>
      </c>
      <c r="L332" s="5" t="s">
        <v>480</v>
      </c>
      <c r="M332" s="5" t="s">
        <v>482</v>
      </c>
      <c r="N332" s="5" t="s">
        <v>481</v>
      </c>
      <c r="O332" s="5" t="s">
        <v>483</v>
      </c>
      <c r="P332" s="5">
        <v>0</v>
      </c>
      <c r="Q332" s="5">
        <v>200</v>
      </c>
      <c r="R332" s="5">
        <v>0</v>
      </c>
      <c r="S332" s="5" t="s">
        <v>21</v>
      </c>
      <c r="T332" s="5">
        <v>200</v>
      </c>
      <c r="U332" s="24"/>
      <c r="V332" s="5" t="s">
        <v>780</v>
      </c>
    </row>
    <row r="333" spans="1:22" x14ac:dyDescent="0.3">
      <c r="A333" s="5">
        <v>332</v>
      </c>
      <c r="B333" s="5" t="s">
        <v>397</v>
      </c>
      <c r="C333" s="5">
        <v>95116</v>
      </c>
      <c r="D333" s="5" t="str">
        <f>"481-27-014"</f>
        <v>481-27-014</v>
      </c>
      <c r="E333" s="5"/>
      <c r="F333" s="5" t="s">
        <v>54</v>
      </c>
      <c r="G333" s="22" t="s">
        <v>589</v>
      </c>
      <c r="H333" s="22">
        <v>0</v>
      </c>
      <c r="I333" s="5">
        <v>8</v>
      </c>
      <c r="J333" s="23">
        <v>0.88753101731258</v>
      </c>
      <c r="K333" s="22" t="s">
        <v>576</v>
      </c>
      <c r="L333" s="5" t="s">
        <v>480</v>
      </c>
      <c r="M333" s="5" t="s">
        <v>482</v>
      </c>
      <c r="N333" s="5" t="s">
        <v>481</v>
      </c>
      <c r="O333" s="5" t="s">
        <v>483</v>
      </c>
      <c r="P333" s="5">
        <v>0</v>
      </c>
      <c r="Q333" s="5">
        <v>6</v>
      </c>
      <c r="R333" s="5">
        <v>0</v>
      </c>
      <c r="S333" s="5" t="s">
        <v>21</v>
      </c>
      <c r="T333" s="5">
        <v>6</v>
      </c>
      <c r="U333" s="24"/>
      <c r="V333" s="5" t="s">
        <v>784</v>
      </c>
    </row>
    <row r="334" spans="1:22" x14ac:dyDescent="0.3">
      <c r="A334" s="5">
        <v>333</v>
      </c>
      <c r="B334" s="5" t="s">
        <v>344</v>
      </c>
      <c r="C334" s="5">
        <v>95110</v>
      </c>
      <c r="D334" s="5" t="str">
        <f>"264-31-014"</f>
        <v>264-31-014</v>
      </c>
      <c r="E334" s="5"/>
      <c r="F334" s="5" t="s">
        <v>20</v>
      </c>
      <c r="G334" s="22" t="s">
        <v>594</v>
      </c>
      <c r="H334" s="22">
        <v>0</v>
      </c>
      <c r="I334" s="5">
        <v>800</v>
      </c>
      <c r="J334" s="23">
        <v>0.14088850423249299</v>
      </c>
      <c r="K334" s="22" t="s">
        <v>577</v>
      </c>
      <c r="L334" s="5" t="s">
        <v>480</v>
      </c>
      <c r="M334" s="5" t="s">
        <v>482</v>
      </c>
      <c r="N334" s="5" t="s">
        <v>481</v>
      </c>
      <c r="O334" s="5" t="s">
        <v>483</v>
      </c>
      <c r="P334" s="5">
        <v>0</v>
      </c>
      <c r="Q334" s="5">
        <v>14</v>
      </c>
      <c r="R334" s="5">
        <v>0</v>
      </c>
      <c r="S334" s="5" t="s">
        <v>21</v>
      </c>
      <c r="T334" s="5">
        <v>14</v>
      </c>
      <c r="U334" s="24"/>
      <c r="V334" s="5" t="s">
        <v>596</v>
      </c>
    </row>
    <row r="335" spans="1:22" x14ac:dyDescent="0.3">
      <c r="A335" s="5">
        <v>334</v>
      </c>
      <c r="B335" s="5" t="s">
        <v>273</v>
      </c>
      <c r="C335" s="5">
        <v>95110</v>
      </c>
      <c r="D335" s="5" t="str">
        <f>"259-47-020"</f>
        <v>259-47-020</v>
      </c>
      <c r="E335" s="5" t="s">
        <v>535</v>
      </c>
      <c r="F335" s="5" t="s">
        <v>20</v>
      </c>
      <c r="G335" s="22" t="s">
        <v>584</v>
      </c>
      <c r="H335" s="22">
        <v>0</v>
      </c>
      <c r="I335" s="5">
        <v>800</v>
      </c>
      <c r="J335" s="23">
        <v>0.114774582878054</v>
      </c>
      <c r="K335" s="22" t="s">
        <v>581</v>
      </c>
      <c r="L335" s="5" t="s">
        <v>480</v>
      </c>
      <c r="M335" s="5" t="s">
        <v>482</v>
      </c>
      <c r="N335" s="5" t="s">
        <v>481</v>
      </c>
      <c r="O335" s="5" t="s">
        <v>483</v>
      </c>
      <c r="P335" s="5">
        <v>0</v>
      </c>
      <c r="Q335" s="5">
        <v>15</v>
      </c>
      <c r="R335" s="5">
        <v>0</v>
      </c>
      <c r="S335" s="5" t="s">
        <v>21</v>
      </c>
      <c r="T335" s="5">
        <v>15</v>
      </c>
      <c r="U335" s="24"/>
      <c r="V335" s="5" t="s">
        <v>746</v>
      </c>
    </row>
    <row r="336" spans="1:22" x14ac:dyDescent="0.3">
      <c r="A336" s="5">
        <v>335</v>
      </c>
      <c r="B336" s="5" t="s">
        <v>153</v>
      </c>
      <c r="C336" s="5">
        <v>95117</v>
      </c>
      <c r="D336" s="5" t="str">
        <f>"303-26-058"</f>
        <v>303-26-058</v>
      </c>
      <c r="E336" s="5" t="s">
        <v>512</v>
      </c>
      <c r="F336" s="5" t="s">
        <v>9</v>
      </c>
      <c r="G336" s="22" t="s">
        <v>18</v>
      </c>
      <c r="H336" s="22">
        <v>65</v>
      </c>
      <c r="I336" s="5">
        <v>250</v>
      </c>
      <c r="J336" s="23">
        <v>0.32548327050257497</v>
      </c>
      <c r="K336" s="22" t="s">
        <v>576</v>
      </c>
      <c r="L336" s="5" t="s">
        <v>480</v>
      </c>
      <c r="M336" s="5" t="s">
        <v>482</v>
      </c>
      <c r="N336" s="5" t="s">
        <v>481</v>
      </c>
      <c r="O336" s="5" t="s">
        <v>483</v>
      </c>
      <c r="P336" s="5">
        <v>0</v>
      </c>
      <c r="Q336" s="5">
        <v>21</v>
      </c>
      <c r="R336" s="5">
        <v>0</v>
      </c>
      <c r="S336" s="5" t="s">
        <v>21</v>
      </c>
      <c r="T336" s="5">
        <v>21</v>
      </c>
      <c r="U336" s="24"/>
      <c r="V336" s="5" t="s">
        <v>687</v>
      </c>
    </row>
    <row r="337" spans="1:22" x14ac:dyDescent="0.3">
      <c r="A337" s="5">
        <v>336</v>
      </c>
      <c r="B337" s="5" t="s">
        <v>164</v>
      </c>
      <c r="C337" s="5">
        <v>95128</v>
      </c>
      <c r="D337" s="5" t="str">
        <f>"305-03-045"</f>
        <v>305-03-045</v>
      </c>
      <c r="E337" s="5"/>
      <c r="F337" s="5" t="s">
        <v>50</v>
      </c>
      <c r="G337" s="22" t="s">
        <v>96</v>
      </c>
      <c r="H337" s="22">
        <v>45</v>
      </c>
      <c r="I337" s="5">
        <v>95</v>
      </c>
      <c r="J337" s="23">
        <v>0.50308039037482599</v>
      </c>
      <c r="K337" s="22" t="s">
        <v>576</v>
      </c>
      <c r="L337" s="5" t="s">
        <v>480</v>
      </c>
      <c r="M337" s="5" t="s">
        <v>482</v>
      </c>
      <c r="N337" s="5" t="s">
        <v>481</v>
      </c>
      <c r="O337" s="5" t="s">
        <v>483</v>
      </c>
      <c r="P337" s="5">
        <v>0</v>
      </c>
      <c r="Q337" s="5">
        <v>23</v>
      </c>
      <c r="R337" s="5">
        <v>0</v>
      </c>
      <c r="S337" s="5" t="s">
        <v>21</v>
      </c>
      <c r="T337" s="5">
        <v>23</v>
      </c>
      <c r="U337" s="24"/>
      <c r="V337" s="5" t="s">
        <v>681</v>
      </c>
    </row>
    <row r="338" spans="1:22" x14ac:dyDescent="0.3">
      <c r="A338" s="5">
        <v>337</v>
      </c>
      <c r="B338" s="5" t="s">
        <v>266</v>
      </c>
      <c r="C338" s="5">
        <v>95110</v>
      </c>
      <c r="D338" s="5" t="str">
        <f>"259-47-030"</f>
        <v>259-47-030</v>
      </c>
      <c r="E338" s="5" t="s">
        <v>534</v>
      </c>
      <c r="F338" s="5" t="s">
        <v>20</v>
      </c>
      <c r="G338" s="22" t="s">
        <v>584</v>
      </c>
      <c r="H338" s="22">
        <v>0</v>
      </c>
      <c r="I338" s="5">
        <v>800</v>
      </c>
      <c r="J338" s="23">
        <v>0.111001795246115</v>
      </c>
      <c r="K338" s="22" t="s">
        <v>576</v>
      </c>
      <c r="L338" s="5" t="s">
        <v>480</v>
      </c>
      <c r="M338" s="5" t="s">
        <v>482</v>
      </c>
      <c r="N338" s="5" t="s">
        <v>481</v>
      </c>
      <c r="O338" s="5" t="s">
        <v>483</v>
      </c>
      <c r="P338" s="5">
        <v>0</v>
      </c>
      <c r="Q338" s="5">
        <v>16</v>
      </c>
      <c r="R338" s="5">
        <v>0</v>
      </c>
      <c r="S338" s="5" t="s">
        <v>21</v>
      </c>
      <c r="T338" s="5">
        <v>16</v>
      </c>
      <c r="U338" s="24"/>
      <c r="V338" s="5" t="s">
        <v>627</v>
      </c>
    </row>
    <row r="339" spans="1:22" ht="28.8" x14ac:dyDescent="0.3">
      <c r="A339" s="5">
        <v>338</v>
      </c>
      <c r="B339" s="5" t="s">
        <v>365</v>
      </c>
      <c r="C339" s="5">
        <v>95112</v>
      </c>
      <c r="D339" s="5" t="str">
        <f>"467-24-113"</f>
        <v>467-24-113</v>
      </c>
      <c r="E339" s="5"/>
      <c r="F339" s="5" t="s">
        <v>9</v>
      </c>
      <c r="G339" s="22" t="s">
        <v>18</v>
      </c>
      <c r="H339" s="22">
        <v>55</v>
      </c>
      <c r="I339" s="5">
        <v>175</v>
      </c>
      <c r="J339" s="23">
        <v>0.53445593098905797</v>
      </c>
      <c r="K339" s="22" t="s">
        <v>579</v>
      </c>
      <c r="L339" s="5" t="s">
        <v>480</v>
      </c>
      <c r="M339" s="5" t="s">
        <v>482</v>
      </c>
      <c r="N339" s="5" t="s">
        <v>481</v>
      </c>
      <c r="O339" s="5" t="s">
        <v>483</v>
      </c>
      <c r="P339" s="5">
        <v>0</v>
      </c>
      <c r="Q339" s="5">
        <v>29</v>
      </c>
      <c r="R339" s="5">
        <v>0</v>
      </c>
      <c r="S339" s="5" t="s">
        <v>21</v>
      </c>
      <c r="T339" s="5">
        <v>29</v>
      </c>
      <c r="U339" s="24" t="s">
        <v>607</v>
      </c>
      <c r="V339" s="5" t="s">
        <v>783</v>
      </c>
    </row>
    <row r="340" spans="1:22" x14ac:dyDescent="0.3">
      <c r="A340" s="5">
        <v>339</v>
      </c>
      <c r="B340" s="5" t="s">
        <v>95</v>
      </c>
      <c r="C340" s="5">
        <v>95128</v>
      </c>
      <c r="D340" s="5" t="str">
        <f>"279-25-014"</f>
        <v>279-25-014</v>
      </c>
      <c r="E340" s="5"/>
      <c r="F340" s="5" t="s">
        <v>50</v>
      </c>
      <c r="G340" s="22" t="s">
        <v>96</v>
      </c>
      <c r="H340" s="22">
        <v>45</v>
      </c>
      <c r="I340" s="5">
        <v>95</v>
      </c>
      <c r="J340" s="23">
        <v>0.42006858582400902</v>
      </c>
      <c r="K340" s="22" t="s">
        <v>576</v>
      </c>
      <c r="L340" s="5" t="s">
        <v>480</v>
      </c>
      <c r="M340" s="5" t="s">
        <v>482</v>
      </c>
      <c r="N340" s="5" t="s">
        <v>481</v>
      </c>
      <c r="O340" s="5" t="s">
        <v>483</v>
      </c>
      <c r="P340" s="5">
        <v>19</v>
      </c>
      <c r="Q340" s="5">
        <v>0</v>
      </c>
      <c r="R340" s="5">
        <v>0</v>
      </c>
      <c r="S340" s="5" t="s">
        <v>7</v>
      </c>
      <c r="T340" s="5">
        <v>19</v>
      </c>
      <c r="U340" s="24"/>
      <c r="V340" s="5" t="s">
        <v>644</v>
      </c>
    </row>
    <row r="341" spans="1:22" x14ac:dyDescent="0.3">
      <c r="A341" s="5">
        <v>340</v>
      </c>
      <c r="B341" s="5" t="s">
        <v>238</v>
      </c>
      <c r="C341" s="5">
        <v>95110</v>
      </c>
      <c r="D341" s="5" t="str">
        <f>"259-22-044"</f>
        <v>259-22-044</v>
      </c>
      <c r="E341" s="5"/>
      <c r="F341" s="5" t="s">
        <v>20</v>
      </c>
      <c r="G341" s="22" t="s">
        <v>584</v>
      </c>
      <c r="H341" s="22">
        <v>0</v>
      </c>
      <c r="I341" s="5">
        <v>0</v>
      </c>
      <c r="J341" s="23">
        <v>0.17260229010436201</v>
      </c>
      <c r="K341" s="22" t="s">
        <v>580</v>
      </c>
      <c r="L341" s="5" t="s">
        <v>480</v>
      </c>
      <c r="M341" s="5" t="s">
        <v>482</v>
      </c>
      <c r="N341" s="5" t="s">
        <v>481</v>
      </c>
      <c r="O341" s="5" t="s">
        <v>483</v>
      </c>
      <c r="P341" s="5">
        <v>0</v>
      </c>
      <c r="Q341" s="5">
        <v>23</v>
      </c>
      <c r="R341" s="5">
        <v>0</v>
      </c>
      <c r="S341" s="5" t="s">
        <v>21</v>
      </c>
      <c r="T341" s="5">
        <v>23</v>
      </c>
      <c r="U341" s="24"/>
      <c r="V341" s="5" t="s">
        <v>831</v>
      </c>
    </row>
    <row r="342" spans="1:22" x14ac:dyDescent="0.3">
      <c r="A342" s="5">
        <v>341</v>
      </c>
      <c r="B342" s="5" t="s">
        <v>131</v>
      </c>
      <c r="C342" s="5">
        <v>95129</v>
      </c>
      <c r="D342" s="5" t="str">
        <f>"294-40-006"</f>
        <v>294-40-006</v>
      </c>
      <c r="E342" s="5" t="s">
        <v>508</v>
      </c>
      <c r="F342" s="5" t="s">
        <v>9</v>
      </c>
      <c r="G342" s="22" t="s">
        <v>18</v>
      </c>
      <c r="H342" s="22">
        <v>65</v>
      </c>
      <c r="I342" s="5">
        <v>250</v>
      </c>
      <c r="J342" s="23">
        <v>2.0012504673124298</v>
      </c>
      <c r="K342" s="22" t="s">
        <v>576</v>
      </c>
      <c r="L342" s="5" t="s">
        <v>480</v>
      </c>
      <c r="M342" s="5" t="s">
        <v>482</v>
      </c>
      <c r="N342" s="5" t="s">
        <v>481</v>
      </c>
      <c r="O342" s="5" t="s">
        <v>483</v>
      </c>
      <c r="P342" s="5">
        <v>0</v>
      </c>
      <c r="Q342" s="5">
        <v>130</v>
      </c>
      <c r="R342" s="5">
        <v>0</v>
      </c>
      <c r="S342" s="5" t="s">
        <v>21</v>
      </c>
      <c r="T342" s="5">
        <v>130</v>
      </c>
      <c r="U342" s="24"/>
      <c r="V342" s="5" t="s">
        <v>672</v>
      </c>
    </row>
    <row r="343" spans="1:22" x14ac:dyDescent="0.3">
      <c r="A343" s="5">
        <v>342</v>
      </c>
      <c r="B343" s="5" t="s">
        <v>78</v>
      </c>
      <c r="C343" s="5">
        <v>95110</v>
      </c>
      <c r="D343" s="5" t="str">
        <f>"259-47-074"</f>
        <v>259-47-074</v>
      </c>
      <c r="E343" s="5" t="s">
        <v>535</v>
      </c>
      <c r="F343" s="5" t="s">
        <v>20</v>
      </c>
      <c r="G343" s="22" t="s">
        <v>584</v>
      </c>
      <c r="H343" s="22">
        <v>0</v>
      </c>
      <c r="I343" s="5">
        <v>800</v>
      </c>
      <c r="J343" s="23">
        <v>5.4892208194386602E-2</v>
      </c>
      <c r="K343" s="22" t="s">
        <v>577</v>
      </c>
      <c r="L343" s="5" t="s">
        <v>480</v>
      </c>
      <c r="M343" s="5" t="s">
        <v>482</v>
      </c>
      <c r="N343" s="5" t="s">
        <v>481</v>
      </c>
      <c r="O343" s="5" t="s">
        <v>483</v>
      </c>
      <c r="P343" s="5">
        <v>0</v>
      </c>
      <c r="Q343" s="5">
        <v>6</v>
      </c>
      <c r="R343" s="5">
        <v>0</v>
      </c>
      <c r="S343" s="5" t="s">
        <v>21</v>
      </c>
      <c r="T343" s="5">
        <v>6</v>
      </c>
      <c r="U343" s="24"/>
      <c r="V343" s="5" t="s">
        <v>600</v>
      </c>
    </row>
    <row r="344" spans="1:22" x14ac:dyDescent="0.3">
      <c r="A344" s="5">
        <v>343</v>
      </c>
      <c r="B344" s="5" t="s">
        <v>262</v>
      </c>
      <c r="C344" s="5">
        <v>95110</v>
      </c>
      <c r="D344" s="5" t="str">
        <f>"259-46-082"</f>
        <v>259-46-082</v>
      </c>
      <c r="E344" s="5" t="s">
        <v>533</v>
      </c>
      <c r="F344" s="5" t="s">
        <v>20</v>
      </c>
      <c r="G344" s="22" t="s">
        <v>584</v>
      </c>
      <c r="H344" s="22">
        <v>0</v>
      </c>
      <c r="I344" s="5">
        <v>800</v>
      </c>
      <c r="J344" s="23">
        <v>0.115548997830901</v>
      </c>
      <c r="K344" s="22" t="s">
        <v>576</v>
      </c>
      <c r="L344" s="5" t="s">
        <v>480</v>
      </c>
      <c r="M344" s="5" t="s">
        <v>482</v>
      </c>
      <c r="N344" s="5" t="s">
        <v>481</v>
      </c>
      <c r="O344" s="5" t="s">
        <v>483</v>
      </c>
      <c r="P344" s="5">
        <v>0</v>
      </c>
      <c r="Q344" s="5">
        <v>15</v>
      </c>
      <c r="R344" s="5">
        <v>0</v>
      </c>
      <c r="S344" s="5" t="s">
        <v>21</v>
      </c>
      <c r="T344" s="5">
        <v>15</v>
      </c>
      <c r="U344" s="24"/>
      <c r="V344" s="5" t="s">
        <v>742</v>
      </c>
    </row>
    <row r="345" spans="1:22" x14ac:dyDescent="0.3">
      <c r="A345" s="5">
        <v>344</v>
      </c>
      <c r="B345" s="5" t="s">
        <v>263</v>
      </c>
      <c r="C345" s="5">
        <v>95110</v>
      </c>
      <c r="D345" s="5" t="str">
        <f>"259-46-107"</f>
        <v>259-46-107</v>
      </c>
      <c r="E345" s="5" t="s">
        <v>533</v>
      </c>
      <c r="F345" s="5" t="s">
        <v>20</v>
      </c>
      <c r="G345" s="22" t="s">
        <v>584</v>
      </c>
      <c r="H345" s="22">
        <v>0</v>
      </c>
      <c r="I345" s="5">
        <v>800</v>
      </c>
      <c r="J345" s="23">
        <v>0.12820630047214299</v>
      </c>
      <c r="K345" s="22" t="s">
        <v>576</v>
      </c>
      <c r="L345" s="5" t="s">
        <v>480</v>
      </c>
      <c r="M345" s="5" t="s">
        <v>482</v>
      </c>
      <c r="N345" s="5" t="s">
        <v>481</v>
      </c>
      <c r="O345" s="5" t="s">
        <v>483</v>
      </c>
      <c r="P345" s="5">
        <v>0</v>
      </c>
      <c r="Q345" s="5">
        <v>16</v>
      </c>
      <c r="R345" s="5">
        <v>0</v>
      </c>
      <c r="S345" s="5" t="s">
        <v>21</v>
      </c>
      <c r="T345" s="5">
        <v>16</v>
      </c>
      <c r="U345" s="24"/>
      <c r="V345" s="5" t="s">
        <v>743</v>
      </c>
    </row>
    <row r="346" spans="1:22" ht="28.8" x14ac:dyDescent="0.3">
      <c r="A346" s="5">
        <v>345</v>
      </c>
      <c r="B346" s="5" t="s">
        <v>78</v>
      </c>
      <c r="C346" s="5">
        <v>95126</v>
      </c>
      <c r="D346" s="5" t="str">
        <f>"264-06-011"</f>
        <v>264-06-011</v>
      </c>
      <c r="E346" s="5" t="s">
        <v>544</v>
      </c>
      <c r="F346" s="5" t="s">
        <v>33</v>
      </c>
      <c r="G346" s="22" t="s">
        <v>34</v>
      </c>
      <c r="H346" s="22">
        <v>0</v>
      </c>
      <c r="I346" s="5">
        <v>30</v>
      </c>
      <c r="J346" s="23">
        <v>0.85886394960698598</v>
      </c>
      <c r="K346" s="22" t="s">
        <v>579</v>
      </c>
      <c r="L346" s="5" t="s">
        <v>480</v>
      </c>
      <c r="M346" s="5" t="s">
        <v>482</v>
      </c>
      <c r="N346" s="5" t="s">
        <v>481</v>
      </c>
      <c r="O346" s="5" t="s">
        <v>483</v>
      </c>
      <c r="P346" s="5">
        <v>0</v>
      </c>
      <c r="Q346" s="5">
        <v>11</v>
      </c>
      <c r="R346" s="5">
        <v>0</v>
      </c>
      <c r="S346" s="5" t="s">
        <v>21</v>
      </c>
      <c r="T346" s="5">
        <v>11</v>
      </c>
      <c r="U346" s="24" t="s">
        <v>607</v>
      </c>
      <c r="V346" s="5" t="s">
        <v>813</v>
      </c>
    </row>
    <row r="347" spans="1:22" x14ac:dyDescent="0.3">
      <c r="A347" s="5">
        <v>346</v>
      </c>
      <c r="B347" s="5" t="s">
        <v>285</v>
      </c>
      <c r="C347" s="5">
        <v>95110</v>
      </c>
      <c r="D347" s="5" t="str">
        <f>"259-48-036"</f>
        <v>259-48-036</v>
      </c>
      <c r="E347" s="5"/>
      <c r="F347" s="5" t="s">
        <v>20</v>
      </c>
      <c r="G347" s="22" t="s">
        <v>584</v>
      </c>
      <c r="H347" s="22">
        <v>0</v>
      </c>
      <c r="I347" s="5">
        <v>800</v>
      </c>
      <c r="J347" s="23">
        <v>0.116833953361836</v>
      </c>
      <c r="K347" s="22" t="s">
        <v>581</v>
      </c>
      <c r="L347" s="5" t="s">
        <v>480</v>
      </c>
      <c r="M347" s="5" t="s">
        <v>482</v>
      </c>
      <c r="N347" s="5" t="s">
        <v>481</v>
      </c>
      <c r="O347" s="5" t="s">
        <v>483</v>
      </c>
      <c r="P347" s="5">
        <v>0</v>
      </c>
      <c r="Q347" s="5">
        <v>15</v>
      </c>
      <c r="R347" s="5">
        <v>0</v>
      </c>
      <c r="S347" s="5" t="s">
        <v>21</v>
      </c>
      <c r="T347" s="5">
        <v>15</v>
      </c>
      <c r="U347" s="24"/>
      <c r="V347" s="5" t="s">
        <v>749</v>
      </c>
    </row>
    <row r="348" spans="1:22" x14ac:dyDescent="0.3">
      <c r="A348" s="5">
        <v>347</v>
      </c>
      <c r="B348" s="5" t="s">
        <v>100</v>
      </c>
      <c r="C348" s="5">
        <v>95128</v>
      </c>
      <c r="D348" s="5" t="str">
        <f>"279-25-026"</f>
        <v>279-25-026</v>
      </c>
      <c r="E348" s="5" t="s">
        <v>499</v>
      </c>
      <c r="F348" s="5" t="s">
        <v>50</v>
      </c>
      <c r="G348" s="22" t="s">
        <v>96</v>
      </c>
      <c r="H348" s="22">
        <v>45</v>
      </c>
      <c r="I348" s="5">
        <v>95</v>
      </c>
      <c r="J348" s="23">
        <v>0.20521373385628899</v>
      </c>
      <c r="K348" s="22" t="s">
        <v>576</v>
      </c>
      <c r="L348" s="5" t="s">
        <v>480</v>
      </c>
      <c r="M348" s="5" t="s">
        <v>482</v>
      </c>
      <c r="N348" s="5" t="s">
        <v>481</v>
      </c>
      <c r="O348" s="5" t="s">
        <v>483</v>
      </c>
      <c r="P348" s="25">
        <v>0</v>
      </c>
      <c r="Q348" s="5">
        <v>9</v>
      </c>
      <c r="R348" s="5">
        <v>0</v>
      </c>
      <c r="S348" s="5" t="s">
        <v>21</v>
      </c>
      <c r="T348" s="5">
        <v>9</v>
      </c>
      <c r="U348" s="24"/>
      <c r="V348" s="5" t="s">
        <v>647</v>
      </c>
    </row>
    <row r="349" spans="1:22" x14ac:dyDescent="0.3">
      <c r="A349" s="5">
        <v>348</v>
      </c>
      <c r="B349" s="5" t="s">
        <v>354</v>
      </c>
      <c r="C349" s="5">
        <v>95116</v>
      </c>
      <c r="D349" s="5" t="str">
        <f>"467-08-011"</f>
        <v>467-08-011</v>
      </c>
      <c r="E349" s="5" t="s">
        <v>552</v>
      </c>
      <c r="F349" s="5" t="s">
        <v>9</v>
      </c>
      <c r="G349" s="22" t="s">
        <v>18</v>
      </c>
      <c r="H349" s="22">
        <v>0</v>
      </c>
      <c r="I349" s="5">
        <v>250</v>
      </c>
      <c r="J349" s="23">
        <v>2.5307191721254498</v>
      </c>
      <c r="K349" s="22" t="s">
        <v>576</v>
      </c>
      <c r="L349" s="5" t="s">
        <v>480</v>
      </c>
      <c r="M349" s="5" t="s">
        <v>482</v>
      </c>
      <c r="N349" s="5" t="s">
        <v>481</v>
      </c>
      <c r="O349" s="5" t="s">
        <v>483</v>
      </c>
      <c r="P349" s="5">
        <v>0</v>
      </c>
      <c r="Q349" s="5">
        <v>173</v>
      </c>
      <c r="R349" s="5">
        <v>0</v>
      </c>
      <c r="S349" s="5" t="s">
        <v>21</v>
      </c>
      <c r="T349" s="5">
        <v>173</v>
      </c>
      <c r="U349" s="24"/>
      <c r="V349" s="5" t="s">
        <v>724</v>
      </c>
    </row>
    <row r="350" spans="1:22" x14ac:dyDescent="0.3">
      <c r="A350" s="5">
        <v>349</v>
      </c>
      <c r="B350" s="5" t="s">
        <v>78</v>
      </c>
      <c r="C350" s="5">
        <v>95113</v>
      </c>
      <c r="D350" s="5" t="str">
        <f>"259-33-060"</f>
        <v>259-33-060</v>
      </c>
      <c r="E350" s="5" t="s">
        <v>574</v>
      </c>
      <c r="F350" s="5" t="s">
        <v>20</v>
      </c>
      <c r="G350" s="22" t="s">
        <v>584</v>
      </c>
      <c r="H350" s="22">
        <v>0</v>
      </c>
      <c r="I350" s="5">
        <v>800</v>
      </c>
      <c r="J350" s="23">
        <v>0.14030854232966</v>
      </c>
      <c r="K350" s="22" t="s">
        <v>582</v>
      </c>
      <c r="L350" s="5" t="s">
        <v>480</v>
      </c>
      <c r="M350" s="5" t="s">
        <v>482</v>
      </c>
      <c r="N350" s="5" t="s">
        <v>481</v>
      </c>
      <c r="O350" s="5" t="s">
        <v>483</v>
      </c>
      <c r="P350" s="5">
        <v>0</v>
      </c>
      <c r="Q350" s="5">
        <v>21</v>
      </c>
      <c r="R350" s="5">
        <v>0</v>
      </c>
      <c r="S350" s="5" t="s">
        <v>21</v>
      </c>
      <c r="T350" s="5">
        <v>21</v>
      </c>
      <c r="U350" s="24"/>
      <c r="V350" s="5" t="s">
        <v>821</v>
      </c>
    </row>
    <row r="351" spans="1:22" x14ac:dyDescent="0.3">
      <c r="A351" s="5">
        <v>350</v>
      </c>
      <c r="B351" s="5" t="s">
        <v>377</v>
      </c>
      <c r="C351" s="5">
        <v>95113</v>
      </c>
      <c r="D351" s="5" t="str">
        <f>"467-47-038"</f>
        <v>467-47-038</v>
      </c>
      <c r="E351" s="5"/>
      <c r="F351" s="5" t="s">
        <v>20</v>
      </c>
      <c r="G351" s="22" t="s">
        <v>584</v>
      </c>
      <c r="H351" s="22">
        <v>0</v>
      </c>
      <c r="I351" s="5">
        <v>800</v>
      </c>
      <c r="J351" s="23">
        <v>0.21441851983014801</v>
      </c>
      <c r="K351" s="22" t="s">
        <v>581</v>
      </c>
      <c r="L351" s="5" t="s">
        <v>480</v>
      </c>
      <c r="M351" s="5" t="s">
        <v>482</v>
      </c>
      <c r="N351" s="5" t="s">
        <v>481</v>
      </c>
      <c r="O351" s="5" t="s">
        <v>483</v>
      </c>
      <c r="P351" s="5">
        <v>0</v>
      </c>
      <c r="Q351" s="5">
        <v>27</v>
      </c>
      <c r="R351" s="5">
        <v>0</v>
      </c>
      <c r="S351" s="5" t="s">
        <v>21</v>
      </c>
      <c r="T351" s="5">
        <v>27</v>
      </c>
      <c r="U351" s="24"/>
      <c r="V351" s="5" t="s">
        <v>786</v>
      </c>
    </row>
    <row r="352" spans="1:22" x14ac:dyDescent="0.3">
      <c r="A352" s="5">
        <v>351</v>
      </c>
      <c r="B352" s="5" t="s">
        <v>395</v>
      </c>
      <c r="C352" s="5">
        <v>95116</v>
      </c>
      <c r="D352" s="5" t="str">
        <f>"481-22-072"</f>
        <v>481-22-072</v>
      </c>
      <c r="E352" s="5"/>
      <c r="F352" s="5" t="s">
        <v>9</v>
      </c>
      <c r="G352" s="22" t="s">
        <v>585</v>
      </c>
      <c r="H352" s="22">
        <v>0</v>
      </c>
      <c r="I352" s="5">
        <v>250</v>
      </c>
      <c r="J352" s="23">
        <v>0.72108926700890597</v>
      </c>
      <c r="K352" s="22" t="s">
        <v>576</v>
      </c>
      <c r="L352" s="5" t="s">
        <v>480</v>
      </c>
      <c r="M352" s="5" t="s">
        <v>482</v>
      </c>
      <c r="N352" s="5" t="s">
        <v>481</v>
      </c>
      <c r="O352" s="5" t="s">
        <v>483</v>
      </c>
      <c r="P352" s="5">
        <v>0</v>
      </c>
      <c r="Q352" s="5">
        <v>40</v>
      </c>
      <c r="R352" s="5">
        <v>0</v>
      </c>
      <c r="S352" s="5" t="s">
        <v>21</v>
      </c>
      <c r="T352" s="5">
        <v>40</v>
      </c>
      <c r="U352" s="24"/>
      <c r="V352" s="5" t="s">
        <v>840</v>
      </c>
    </row>
    <row r="353" spans="1:22" x14ac:dyDescent="0.3">
      <c r="A353" s="5">
        <v>352</v>
      </c>
      <c r="B353" s="5" t="s">
        <v>215</v>
      </c>
      <c r="C353" s="5">
        <v>95116</v>
      </c>
      <c r="D353" s="5" t="str">
        <f>"467-09-067"</f>
        <v>467-09-067</v>
      </c>
      <c r="E353" s="5"/>
      <c r="F353" s="5" t="s">
        <v>9</v>
      </c>
      <c r="G353" s="22" t="s">
        <v>18</v>
      </c>
      <c r="H353" s="22">
        <v>0</v>
      </c>
      <c r="I353" s="5">
        <v>250</v>
      </c>
      <c r="J353" s="23">
        <v>0.96579811932440196</v>
      </c>
      <c r="K353" s="22" t="s">
        <v>576</v>
      </c>
      <c r="L353" s="5" t="s">
        <v>480</v>
      </c>
      <c r="M353" s="5" t="s">
        <v>482</v>
      </c>
      <c r="N353" s="5" t="s">
        <v>481</v>
      </c>
      <c r="O353" s="5" t="s">
        <v>483</v>
      </c>
      <c r="P353" s="5">
        <v>0</v>
      </c>
      <c r="Q353" s="5">
        <v>73</v>
      </c>
      <c r="R353" s="5">
        <v>0</v>
      </c>
      <c r="S353" s="5" t="s">
        <v>21</v>
      </c>
      <c r="T353" s="5">
        <v>73</v>
      </c>
      <c r="U353" s="24"/>
      <c r="V353" s="5" t="s">
        <v>605</v>
      </c>
    </row>
    <row r="354" spans="1:22" x14ac:dyDescent="0.3">
      <c r="A354" s="5">
        <v>353</v>
      </c>
      <c r="B354" s="5" t="s">
        <v>78</v>
      </c>
      <c r="C354" s="5">
        <v>95136</v>
      </c>
      <c r="D354" s="5" t="str">
        <f>"462-02-026"</f>
        <v>462-02-026</v>
      </c>
      <c r="E354" s="5"/>
      <c r="F354" s="5" t="s">
        <v>33</v>
      </c>
      <c r="G354" s="22" t="s">
        <v>34</v>
      </c>
      <c r="H354" s="22">
        <v>0</v>
      </c>
      <c r="I354" s="5">
        <v>30</v>
      </c>
      <c r="J354" s="23">
        <v>2.3901352611308</v>
      </c>
      <c r="K354" s="22" t="s">
        <v>582</v>
      </c>
      <c r="L354" s="5" t="s">
        <v>480</v>
      </c>
      <c r="M354" s="5" t="s">
        <v>482</v>
      </c>
      <c r="N354" s="5" t="s">
        <v>481</v>
      </c>
      <c r="O354" s="5" t="s">
        <v>483</v>
      </c>
      <c r="P354" s="5">
        <v>0</v>
      </c>
      <c r="Q354" s="5">
        <v>35</v>
      </c>
      <c r="R354" s="5">
        <v>0</v>
      </c>
      <c r="S354" s="5" t="s">
        <v>21</v>
      </c>
      <c r="T354" s="5">
        <v>35</v>
      </c>
      <c r="U354" s="24"/>
      <c r="V354" s="5" t="s">
        <v>820</v>
      </c>
    </row>
    <row r="355" spans="1:22" x14ac:dyDescent="0.3">
      <c r="A355" s="5">
        <v>354</v>
      </c>
      <c r="B355" s="5" t="s">
        <v>337</v>
      </c>
      <c r="C355" s="5">
        <v>95110</v>
      </c>
      <c r="D355" s="5" t="str">
        <f>"264-26-036"</f>
        <v>264-26-036</v>
      </c>
      <c r="E355" s="5" t="s">
        <v>548</v>
      </c>
      <c r="F355" s="5" t="s">
        <v>20</v>
      </c>
      <c r="G355" s="22" t="s">
        <v>584</v>
      </c>
      <c r="H355" s="22">
        <v>0</v>
      </c>
      <c r="I355" s="5">
        <v>800</v>
      </c>
      <c r="J355" s="23">
        <v>0.15072196325168</v>
      </c>
      <c r="K355" s="22" t="s">
        <v>581</v>
      </c>
      <c r="L355" s="5" t="s">
        <v>480</v>
      </c>
      <c r="M355" s="5" t="s">
        <v>482</v>
      </c>
      <c r="N355" s="5" t="s">
        <v>481</v>
      </c>
      <c r="O355" s="5" t="s">
        <v>483</v>
      </c>
      <c r="P355" s="5">
        <v>0</v>
      </c>
      <c r="Q355" s="5">
        <v>20</v>
      </c>
      <c r="R355" s="5">
        <v>0</v>
      </c>
      <c r="S355" s="5" t="s">
        <v>21</v>
      </c>
      <c r="T355" s="5">
        <v>20</v>
      </c>
      <c r="U355" s="24"/>
      <c r="V355" s="5" t="s">
        <v>774</v>
      </c>
    </row>
    <row r="356" spans="1:22" x14ac:dyDescent="0.3">
      <c r="A356" s="5">
        <v>355</v>
      </c>
      <c r="B356" s="5" t="s">
        <v>149</v>
      </c>
      <c r="C356" s="5">
        <v>95117</v>
      </c>
      <c r="D356" s="5" t="str">
        <f>"303-25-047"</f>
        <v>303-25-047</v>
      </c>
      <c r="E356" s="5" t="s">
        <v>511</v>
      </c>
      <c r="F356" s="5" t="s">
        <v>9</v>
      </c>
      <c r="G356" s="22" t="s">
        <v>18</v>
      </c>
      <c r="H356" s="22">
        <v>65</v>
      </c>
      <c r="I356" s="5">
        <v>250</v>
      </c>
      <c r="J356" s="23">
        <v>0.23613847658009399</v>
      </c>
      <c r="K356" s="22" t="s">
        <v>576</v>
      </c>
      <c r="L356" s="5" t="s">
        <v>480</v>
      </c>
      <c r="M356" s="5" t="s">
        <v>482</v>
      </c>
      <c r="N356" s="5" t="s">
        <v>481</v>
      </c>
      <c r="O356" s="5" t="s">
        <v>483</v>
      </c>
      <c r="P356" s="5">
        <v>0</v>
      </c>
      <c r="Q356" s="5">
        <v>15</v>
      </c>
      <c r="R356" s="5">
        <v>0</v>
      </c>
      <c r="S356" s="5" t="s">
        <v>21</v>
      </c>
      <c r="T356" s="5">
        <v>15</v>
      </c>
      <c r="U356" s="24"/>
      <c r="V356" s="5" t="s">
        <v>684</v>
      </c>
    </row>
    <row r="357" spans="1:22" x14ac:dyDescent="0.3">
      <c r="A357" s="5">
        <v>356</v>
      </c>
      <c r="B357" s="5" t="s">
        <v>278</v>
      </c>
      <c r="C357" s="5">
        <v>95110</v>
      </c>
      <c r="D357" s="5" t="str">
        <f>"259-47-044"</f>
        <v>259-47-044</v>
      </c>
      <c r="E357" s="5" t="s">
        <v>536</v>
      </c>
      <c r="F357" s="5" t="s">
        <v>20</v>
      </c>
      <c r="G357" s="22" t="s">
        <v>584</v>
      </c>
      <c r="H357" s="22">
        <v>0</v>
      </c>
      <c r="I357" s="5">
        <v>800</v>
      </c>
      <c r="J357" s="23">
        <v>0.164934860564076</v>
      </c>
      <c r="K357" s="22" t="s">
        <v>581</v>
      </c>
      <c r="L357" s="5" t="s">
        <v>480</v>
      </c>
      <c r="M357" s="5" t="s">
        <v>482</v>
      </c>
      <c r="N357" s="5" t="s">
        <v>481</v>
      </c>
      <c r="O357" s="5" t="s">
        <v>483</v>
      </c>
      <c r="P357" s="5">
        <v>0</v>
      </c>
      <c r="Q357" s="5">
        <v>31</v>
      </c>
      <c r="R357" s="5">
        <v>0</v>
      </c>
      <c r="S357" s="5" t="s">
        <v>21</v>
      </c>
      <c r="T357" s="5">
        <v>31</v>
      </c>
      <c r="U357" s="24"/>
      <c r="V357" s="5" t="s">
        <v>660</v>
      </c>
    </row>
    <row r="358" spans="1:22" x14ac:dyDescent="0.3">
      <c r="A358" s="5">
        <v>357</v>
      </c>
      <c r="B358" s="5" t="s">
        <v>272</v>
      </c>
      <c r="C358" s="5">
        <v>95126</v>
      </c>
      <c r="D358" s="5" t="str">
        <f>"259-47-036"</f>
        <v>259-47-036</v>
      </c>
      <c r="E358" s="5" t="s">
        <v>534</v>
      </c>
      <c r="F358" s="5" t="s">
        <v>20</v>
      </c>
      <c r="G358" s="22" t="s">
        <v>584</v>
      </c>
      <c r="H358" s="22">
        <v>0</v>
      </c>
      <c r="I358" s="5">
        <v>800</v>
      </c>
      <c r="J358" s="23">
        <v>0.110887934667999</v>
      </c>
      <c r="K358" s="22" t="s">
        <v>580</v>
      </c>
      <c r="L358" s="5" t="s">
        <v>480</v>
      </c>
      <c r="M358" s="5" t="s">
        <v>482</v>
      </c>
      <c r="N358" s="5" t="s">
        <v>481</v>
      </c>
      <c r="O358" s="5" t="s">
        <v>483</v>
      </c>
      <c r="P358" s="5">
        <v>0</v>
      </c>
      <c r="Q358" s="5">
        <v>17</v>
      </c>
      <c r="R358" s="5">
        <v>0</v>
      </c>
      <c r="S358" s="5" t="s">
        <v>21</v>
      </c>
      <c r="T358" s="5">
        <v>17</v>
      </c>
      <c r="U358" s="24"/>
      <c r="V358" s="5" t="s">
        <v>741</v>
      </c>
    </row>
    <row r="359" spans="1:22" x14ac:dyDescent="0.3">
      <c r="A359" s="5">
        <v>358</v>
      </c>
      <c r="B359" s="5" t="s">
        <v>322</v>
      </c>
      <c r="C359" s="5">
        <v>95126</v>
      </c>
      <c r="D359" s="5" t="str">
        <f>"264-20-112"</f>
        <v>264-20-112</v>
      </c>
      <c r="E359" s="5" t="s">
        <v>546</v>
      </c>
      <c r="F359" s="5" t="s">
        <v>20</v>
      </c>
      <c r="G359" s="22" t="s">
        <v>584</v>
      </c>
      <c r="H359" s="22">
        <v>0</v>
      </c>
      <c r="I359" s="5">
        <v>800</v>
      </c>
      <c r="J359" s="23">
        <v>8.2771605076019605E-2</v>
      </c>
      <c r="K359" s="22" t="s">
        <v>576</v>
      </c>
      <c r="L359" s="5" t="s">
        <v>480</v>
      </c>
      <c r="M359" s="5" t="s">
        <v>482</v>
      </c>
      <c r="N359" s="5" t="s">
        <v>481</v>
      </c>
      <c r="O359" s="5" t="s">
        <v>483</v>
      </c>
      <c r="P359" s="5">
        <v>0</v>
      </c>
      <c r="Q359" s="5">
        <v>11</v>
      </c>
      <c r="R359" s="5">
        <v>0</v>
      </c>
      <c r="S359" s="5" t="s">
        <v>21</v>
      </c>
      <c r="T359" s="5">
        <v>11</v>
      </c>
      <c r="U359" s="24"/>
      <c r="V359" s="5" t="s">
        <v>660</v>
      </c>
    </row>
    <row r="360" spans="1:22" x14ac:dyDescent="0.3">
      <c r="A360" s="5">
        <v>359</v>
      </c>
      <c r="B360" s="5" t="s">
        <v>163</v>
      </c>
      <c r="C360" s="5">
        <v>95128</v>
      </c>
      <c r="D360" s="5" t="str">
        <f>"305-02-034"</f>
        <v>305-02-034</v>
      </c>
      <c r="E360" s="5"/>
      <c r="F360" s="5" t="s">
        <v>50</v>
      </c>
      <c r="G360" s="22" t="s">
        <v>96</v>
      </c>
      <c r="H360" s="22">
        <v>45</v>
      </c>
      <c r="I360" s="5">
        <v>95</v>
      </c>
      <c r="J360" s="23">
        <v>0.52796022867455805</v>
      </c>
      <c r="K360" s="22" t="s">
        <v>576</v>
      </c>
      <c r="L360" s="5" t="s">
        <v>480</v>
      </c>
      <c r="M360" s="5" t="s">
        <v>482</v>
      </c>
      <c r="N360" s="5" t="s">
        <v>481</v>
      </c>
      <c r="O360" s="5" t="s">
        <v>483</v>
      </c>
      <c r="P360" s="5">
        <v>0</v>
      </c>
      <c r="Q360" s="5">
        <v>24</v>
      </c>
      <c r="R360" s="5">
        <v>0</v>
      </c>
      <c r="S360" s="5" t="s">
        <v>21</v>
      </c>
      <c r="T360" s="5">
        <v>24</v>
      </c>
      <c r="U360" s="24"/>
      <c r="V360" s="5" t="s">
        <v>627</v>
      </c>
    </row>
    <row r="361" spans="1:22" x14ac:dyDescent="0.3">
      <c r="A361" s="5">
        <v>360</v>
      </c>
      <c r="B361" s="5" t="s">
        <v>52</v>
      </c>
      <c r="C361" s="5">
        <v>95116</v>
      </c>
      <c r="D361" s="5" t="str">
        <f>"484-07-080"</f>
        <v>484-07-080</v>
      </c>
      <c r="E361" s="5"/>
      <c r="F361" s="5" t="s">
        <v>50</v>
      </c>
      <c r="G361" s="22" t="s">
        <v>96</v>
      </c>
      <c r="H361" s="22">
        <v>30</v>
      </c>
      <c r="I361" s="5">
        <v>95</v>
      </c>
      <c r="J361" s="23">
        <v>0.54421782638259097</v>
      </c>
      <c r="K361" s="22" t="s">
        <v>576</v>
      </c>
      <c r="L361" s="5" t="s">
        <v>480</v>
      </c>
      <c r="M361" s="5" t="s">
        <v>482</v>
      </c>
      <c r="N361" s="5" t="s">
        <v>481</v>
      </c>
      <c r="O361" s="5" t="s">
        <v>483</v>
      </c>
      <c r="P361" s="5">
        <v>0</v>
      </c>
      <c r="Q361" s="5">
        <v>24</v>
      </c>
      <c r="R361" s="5">
        <v>0</v>
      </c>
      <c r="S361" s="5" t="s">
        <v>21</v>
      </c>
      <c r="T361" s="5">
        <v>24</v>
      </c>
      <c r="U361" s="24"/>
      <c r="V361" s="5" t="s">
        <v>621</v>
      </c>
    </row>
    <row r="362" spans="1:22" x14ac:dyDescent="0.3">
      <c r="A362" s="5">
        <v>361</v>
      </c>
      <c r="B362" s="5" t="s">
        <v>78</v>
      </c>
      <c r="C362" s="5">
        <v>95126</v>
      </c>
      <c r="D362" s="5" t="str">
        <f>"261-01-091"</f>
        <v>261-01-091</v>
      </c>
      <c r="E362" s="5" t="s">
        <v>537</v>
      </c>
      <c r="F362" s="5" t="s">
        <v>222</v>
      </c>
      <c r="G362" s="22" t="s">
        <v>223</v>
      </c>
      <c r="H362" s="22">
        <v>65</v>
      </c>
      <c r="I362" s="5">
        <v>450</v>
      </c>
      <c r="J362" s="23">
        <v>2.6401512174559699E-2</v>
      </c>
      <c r="K362" s="22" t="s">
        <v>581</v>
      </c>
      <c r="L362" s="5" t="s">
        <v>480</v>
      </c>
      <c r="M362" s="5" t="s">
        <v>482</v>
      </c>
      <c r="N362" s="5" t="s">
        <v>481</v>
      </c>
      <c r="O362" s="5" t="s">
        <v>483</v>
      </c>
      <c r="P362" s="25">
        <v>0</v>
      </c>
      <c r="Q362" s="5">
        <v>3</v>
      </c>
      <c r="R362" s="25">
        <v>0</v>
      </c>
      <c r="S362" s="5" t="s">
        <v>21</v>
      </c>
      <c r="T362" s="5">
        <v>3</v>
      </c>
      <c r="U362" s="24" t="s">
        <v>595</v>
      </c>
      <c r="V362" s="5" t="s">
        <v>786</v>
      </c>
    </row>
    <row r="363" spans="1:22" x14ac:dyDescent="0.3">
      <c r="A363" s="5">
        <v>362</v>
      </c>
      <c r="B363" s="5" t="s">
        <v>78</v>
      </c>
      <c r="C363" s="5">
        <v>95133</v>
      </c>
      <c r="D363" s="5" t="str">
        <f>"254-29-027"</f>
        <v>254-29-027</v>
      </c>
      <c r="E363" s="5" t="s">
        <v>556</v>
      </c>
      <c r="F363" s="5" t="s">
        <v>33</v>
      </c>
      <c r="G363" s="22" t="s">
        <v>34</v>
      </c>
      <c r="H363" s="22">
        <v>0</v>
      </c>
      <c r="I363" s="5">
        <v>30</v>
      </c>
      <c r="J363" s="23">
        <v>0.53735953494114896</v>
      </c>
      <c r="K363" s="22" t="s">
        <v>582</v>
      </c>
      <c r="L363" s="5" t="s">
        <v>480</v>
      </c>
      <c r="M363" s="5" t="s">
        <v>482</v>
      </c>
      <c r="N363" s="5" t="s">
        <v>481</v>
      </c>
      <c r="O363" s="5" t="s">
        <v>483</v>
      </c>
      <c r="P363" s="5">
        <v>0</v>
      </c>
      <c r="Q363" s="5">
        <v>9</v>
      </c>
      <c r="R363" s="5">
        <v>0</v>
      </c>
      <c r="S363" s="5" t="s">
        <v>21</v>
      </c>
      <c r="T363" s="5">
        <v>9</v>
      </c>
      <c r="U363" s="24"/>
      <c r="V363" s="5" t="s">
        <v>812</v>
      </c>
    </row>
    <row r="364" spans="1:22" x14ac:dyDescent="0.3">
      <c r="A364" s="5">
        <v>363</v>
      </c>
      <c r="B364" s="5" t="s">
        <v>78</v>
      </c>
      <c r="C364" s="5">
        <v>95126</v>
      </c>
      <c r="D364" s="5" t="str">
        <f>"264-16-028"</f>
        <v>264-16-028</v>
      </c>
      <c r="E364" s="5" t="s">
        <v>570</v>
      </c>
      <c r="F364" s="5" t="s">
        <v>50</v>
      </c>
      <c r="G364" s="22" t="s">
        <v>96</v>
      </c>
      <c r="H364" s="22">
        <v>30</v>
      </c>
      <c r="I364" s="5">
        <v>95</v>
      </c>
      <c r="J364" s="23">
        <v>0.117371806112785</v>
      </c>
      <c r="K364" s="22" t="s">
        <v>582</v>
      </c>
      <c r="L364" s="5" t="s">
        <v>480</v>
      </c>
      <c r="M364" s="5" t="s">
        <v>482</v>
      </c>
      <c r="N364" s="5" t="s">
        <v>481</v>
      </c>
      <c r="O364" s="5" t="s">
        <v>483</v>
      </c>
      <c r="P364" s="25">
        <v>0</v>
      </c>
      <c r="Q364" s="5">
        <v>6</v>
      </c>
      <c r="R364" s="5">
        <v>0</v>
      </c>
      <c r="S364" s="5" t="s">
        <v>21</v>
      </c>
      <c r="T364" s="5">
        <v>6</v>
      </c>
      <c r="U364" s="24"/>
      <c r="V364" s="5" t="s">
        <v>694</v>
      </c>
    </row>
    <row r="365" spans="1:22" ht="28.8" x14ac:dyDescent="0.3">
      <c r="A365" s="5">
        <v>364</v>
      </c>
      <c r="B365" s="5" t="s">
        <v>345</v>
      </c>
      <c r="C365" s="5">
        <v>95110</v>
      </c>
      <c r="D365" s="5" t="str">
        <f>"264-31-016"</f>
        <v>264-31-016</v>
      </c>
      <c r="E365" s="5"/>
      <c r="F365" s="5" t="s">
        <v>20</v>
      </c>
      <c r="G365" s="22" t="s">
        <v>594</v>
      </c>
      <c r="H365" s="22">
        <v>0</v>
      </c>
      <c r="I365" s="5">
        <v>800</v>
      </c>
      <c r="J365" s="23">
        <v>0.136825080590398</v>
      </c>
      <c r="K365" s="22" t="s">
        <v>581</v>
      </c>
      <c r="L365" s="5" t="s">
        <v>480</v>
      </c>
      <c r="M365" s="5" t="s">
        <v>482</v>
      </c>
      <c r="N365" s="5" t="s">
        <v>481</v>
      </c>
      <c r="O365" s="5" t="s">
        <v>483</v>
      </c>
      <c r="P365" s="5">
        <v>0</v>
      </c>
      <c r="Q365" s="5">
        <v>20</v>
      </c>
      <c r="R365" s="5">
        <v>0</v>
      </c>
      <c r="S365" s="5" t="s">
        <v>21</v>
      </c>
      <c r="T365" s="5">
        <v>20</v>
      </c>
      <c r="U365" s="24" t="s">
        <v>607</v>
      </c>
      <c r="V365" s="5" t="s">
        <v>777</v>
      </c>
    </row>
    <row r="366" spans="1:22" x14ac:dyDescent="0.3">
      <c r="A366" s="5">
        <v>365</v>
      </c>
      <c r="B366" s="5" t="s">
        <v>351</v>
      </c>
      <c r="C366" s="5">
        <v>95112</v>
      </c>
      <c r="D366" s="5" t="str">
        <f>"467-01-036"</f>
        <v>467-01-036</v>
      </c>
      <c r="E366" s="5" t="s">
        <v>551</v>
      </c>
      <c r="F366" s="5" t="s">
        <v>20</v>
      </c>
      <c r="G366" s="22" t="s">
        <v>584</v>
      </c>
      <c r="H366" s="22">
        <v>0</v>
      </c>
      <c r="I366" s="5">
        <v>800</v>
      </c>
      <c r="J366" s="23">
        <v>0.113057558359656</v>
      </c>
      <c r="K366" s="22" t="s">
        <v>577</v>
      </c>
      <c r="L366" s="5" t="s">
        <v>480</v>
      </c>
      <c r="M366" s="5" t="s">
        <v>482</v>
      </c>
      <c r="N366" s="5" t="s">
        <v>481</v>
      </c>
      <c r="O366" s="5" t="s">
        <v>483</v>
      </c>
      <c r="P366" s="5">
        <v>0</v>
      </c>
      <c r="Q366" s="5">
        <v>12</v>
      </c>
      <c r="R366" s="5">
        <v>0</v>
      </c>
      <c r="S366" s="5" t="s">
        <v>21</v>
      </c>
      <c r="T366" s="5">
        <v>12</v>
      </c>
      <c r="U366" s="24"/>
      <c r="V366" s="5" t="s">
        <v>614</v>
      </c>
    </row>
    <row r="367" spans="1:22" x14ac:dyDescent="0.3">
      <c r="A367" s="5">
        <v>366</v>
      </c>
      <c r="B367" s="5" t="s">
        <v>97</v>
      </c>
      <c r="C367" s="5">
        <v>95128</v>
      </c>
      <c r="D367" s="5" t="str">
        <f>"279-25-015"</f>
        <v>279-25-015</v>
      </c>
      <c r="E367" s="5" t="s">
        <v>499</v>
      </c>
      <c r="F367" s="5" t="s">
        <v>50</v>
      </c>
      <c r="G367" s="22" t="s">
        <v>96</v>
      </c>
      <c r="H367" s="22">
        <v>45</v>
      </c>
      <c r="I367" s="5">
        <v>95</v>
      </c>
      <c r="J367" s="23">
        <v>0.27560509744572398</v>
      </c>
      <c r="K367" s="22" t="s">
        <v>576</v>
      </c>
      <c r="L367" s="5" t="s">
        <v>480</v>
      </c>
      <c r="M367" s="5" t="s">
        <v>482</v>
      </c>
      <c r="N367" s="5" t="s">
        <v>481</v>
      </c>
      <c r="O367" s="5" t="s">
        <v>483</v>
      </c>
      <c r="P367" s="25">
        <v>0</v>
      </c>
      <c r="Q367" s="5">
        <v>12</v>
      </c>
      <c r="R367" s="5">
        <v>0</v>
      </c>
      <c r="S367" s="5" t="s">
        <v>21</v>
      </c>
      <c r="T367" s="5">
        <v>12</v>
      </c>
      <c r="U367" s="24"/>
      <c r="V367" s="5" t="s">
        <v>645</v>
      </c>
    </row>
    <row r="368" spans="1:22" x14ac:dyDescent="0.3">
      <c r="A368" s="5">
        <v>367</v>
      </c>
      <c r="B368" s="5" t="s">
        <v>274</v>
      </c>
      <c r="C368" s="5">
        <v>95110</v>
      </c>
      <c r="D368" s="5" t="str">
        <f>"259-47-075"</f>
        <v>259-47-075</v>
      </c>
      <c r="E368" s="5" t="s">
        <v>535</v>
      </c>
      <c r="F368" s="5" t="s">
        <v>20</v>
      </c>
      <c r="G368" s="22" t="s">
        <v>584</v>
      </c>
      <c r="H368" s="22">
        <v>0</v>
      </c>
      <c r="I368" s="5">
        <v>800</v>
      </c>
      <c r="J368" s="23">
        <v>5.14323347543965E-2</v>
      </c>
      <c r="K368" s="22" t="s">
        <v>576</v>
      </c>
      <c r="L368" s="5" t="s">
        <v>480</v>
      </c>
      <c r="M368" s="5" t="s">
        <v>482</v>
      </c>
      <c r="N368" s="5" t="s">
        <v>481</v>
      </c>
      <c r="O368" s="5" t="s">
        <v>483</v>
      </c>
      <c r="P368" s="5">
        <v>0</v>
      </c>
      <c r="Q368" s="5">
        <v>6</v>
      </c>
      <c r="R368" s="5">
        <v>0</v>
      </c>
      <c r="S368" s="5" t="s">
        <v>21</v>
      </c>
      <c r="T368" s="5">
        <v>6</v>
      </c>
      <c r="U368" s="24"/>
      <c r="V368" s="5" t="s">
        <v>644</v>
      </c>
    </row>
    <row r="369" spans="1:22" x14ac:dyDescent="0.3">
      <c r="A369" s="5">
        <v>368</v>
      </c>
      <c r="B369" s="5" t="s">
        <v>57</v>
      </c>
      <c r="C369" s="5">
        <v>95116</v>
      </c>
      <c r="D369" s="5" t="str">
        <f>"467-08-001"</f>
        <v>467-08-001</v>
      </c>
      <c r="E369" s="5" t="s">
        <v>493</v>
      </c>
      <c r="F369" s="5" t="s">
        <v>9</v>
      </c>
      <c r="G369" s="22" t="s">
        <v>18</v>
      </c>
      <c r="H369" s="22">
        <v>0</v>
      </c>
      <c r="I369" s="5">
        <v>250</v>
      </c>
      <c r="J369" s="23">
        <v>0.56608283892062095</v>
      </c>
      <c r="K369" s="22" t="s">
        <v>580</v>
      </c>
      <c r="L369" s="5" t="s">
        <v>480</v>
      </c>
      <c r="M369" s="5" t="s">
        <v>482</v>
      </c>
      <c r="N369" s="5" t="s">
        <v>481</v>
      </c>
      <c r="O369" s="5" t="s">
        <v>483</v>
      </c>
      <c r="P369" s="5">
        <v>0</v>
      </c>
      <c r="Q369" s="5">
        <v>47</v>
      </c>
      <c r="R369" s="5">
        <v>0</v>
      </c>
      <c r="S369" s="5" t="s">
        <v>21</v>
      </c>
      <c r="T369" s="5">
        <v>47</v>
      </c>
      <c r="U369" s="24"/>
      <c r="V369" s="5" t="s">
        <v>624</v>
      </c>
    </row>
    <row r="370" spans="1:22" x14ac:dyDescent="0.3">
      <c r="A370" s="5">
        <v>369</v>
      </c>
      <c r="B370" s="5" t="s">
        <v>349</v>
      </c>
      <c r="C370" s="5">
        <v>95112</v>
      </c>
      <c r="D370" s="5" t="str">
        <f>"467-01-034"</f>
        <v>467-01-034</v>
      </c>
      <c r="E370" s="5" t="s">
        <v>551</v>
      </c>
      <c r="F370" s="5" t="s">
        <v>20</v>
      </c>
      <c r="G370" s="22" t="s">
        <v>584</v>
      </c>
      <c r="H370" s="22">
        <v>0</v>
      </c>
      <c r="I370" s="5">
        <v>800</v>
      </c>
      <c r="J370" s="23">
        <v>7.5618212337327795E-2</v>
      </c>
      <c r="K370" s="22" t="s">
        <v>577</v>
      </c>
      <c r="L370" s="5" t="s">
        <v>480</v>
      </c>
      <c r="M370" s="5" t="s">
        <v>482</v>
      </c>
      <c r="N370" s="5" t="s">
        <v>481</v>
      </c>
      <c r="O370" s="5" t="s">
        <v>483</v>
      </c>
      <c r="P370" s="5">
        <v>0</v>
      </c>
      <c r="Q370" s="5">
        <v>8</v>
      </c>
      <c r="R370" s="5">
        <v>0</v>
      </c>
      <c r="S370" s="5" t="s">
        <v>21</v>
      </c>
      <c r="T370" s="5">
        <v>8</v>
      </c>
      <c r="U370" s="24"/>
      <c r="V370" s="5" t="s">
        <v>614</v>
      </c>
    </row>
    <row r="371" spans="1:22" x14ac:dyDescent="0.3">
      <c r="A371" s="5">
        <v>370</v>
      </c>
      <c r="B371" s="5" t="s">
        <v>236</v>
      </c>
      <c r="C371" s="5">
        <v>95110</v>
      </c>
      <c r="D371" s="5" t="str">
        <f>"259-22-042"</f>
        <v>259-22-042</v>
      </c>
      <c r="E371" s="5"/>
      <c r="F371" s="5" t="s">
        <v>20</v>
      </c>
      <c r="G371" s="22" t="s">
        <v>584</v>
      </c>
      <c r="H371" s="22">
        <v>0</v>
      </c>
      <c r="I371" s="5">
        <v>0</v>
      </c>
      <c r="J371" s="23">
        <v>0.14960292252604099</v>
      </c>
      <c r="K371" s="22" t="s">
        <v>580</v>
      </c>
      <c r="L371" s="5" t="s">
        <v>480</v>
      </c>
      <c r="M371" s="5" t="s">
        <v>482</v>
      </c>
      <c r="N371" s="5" t="s">
        <v>481</v>
      </c>
      <c r="O371" s="5" t="s">
        <v>483</v>
      </c>
      <c r="P371" s="5">
        <v>0</v>
      </c>
      <c r="Q371" s="5">
        <v>23</v>
      </c>
      <c r="R371" s="5">
        <v>0</v>
      </c>
      <c r="S371" s="5" t="s">
        <v>21</v>
      </c>
      <c r="T371" s="5">
        <v>23</v>
      </c>
      <c r="U371" s="24"/>
      <c r="V371" s="5" t="s">
        <v>831</v>
      </c>
    </row>
    <row r="372" spans="1:22" x14ac:dyDescent="0.3">
      <c r="A372" s="5">
        <v>371</v>
      </c>
      <c r="B372" s="5" t="s">
        <v>217</v>
      </c>
      <c r="C372" s="5">
        <v>95116</v>
      </c>
      <c r="D372" s="5" t="str">
        <f>"467-07-067"</f>
        <v>467-07-067</v>
      </c>
      <c r="E372" s="5"/>
      <c r="F372" s="5" t="s">
        <v>9</v>
      </c>
      <c r="G372" s="22" t="s">
        <v>18</v>
      </c>
      <c r="H372" s="22">
        <v>0</v>
      </c>
      <c r="I372" s="5">
        <v>250</v>
      </c>
      <c r="J372" s="23">
        <v>0.70226200142818795</v>
      </c>
      <c r="K372" s="22" t="s">
        <v>579</v>
      </c>
      <c r="L372" s="5" t="s">
        <v>480</v>
      </c>
      <c r="M372" s="5" t="s">
        <v>482</v>
      </c>
      <c r="N372" s="5" t="s">
        <v>481</v>
      </c>
      <c r="O372" s="5" t="s">
        <v>483</v>
      </c>
      <c r="P372" s="5">
        <v>0</v>
      </c>
      <c r="Q372" s="5">
        <v>41</v>
      </c>
      <c r="R372" s="5">
        <v>0</v>
      </c>
      <c r="S372" s="5" t="s">
        <v>21</v>
      </c>
      <c r="T372" s="5">
        <v>41</v>
      </c>
      <c r="U372" s="24"/>
      <c r="V372" s="5" t="s">
        <v>724</v>
      </c>
    </row>
    <row r="373" spans="1:22" x14ac:dyDescent="0.3">
      <c r="A373" s="5">
        <v>372</v>
      </c>
      <c r="B373" s="5" t="s">
        <v>391</v>
      </c>
      <c r="C373" s="5">
        <v>95116</v>
      </c>
      <c r="D373" s="5" t="str">
        <f>"481-08-016"</f>
        <v>481-08-016</v>
      </c>
      <c r="E373" s="5" t="s">
        <v>561</v>
      </c>
      <c r="F373" s="5" t="s">
        <v>9</v>
      </c>
      <c r="G373" s="22" t="s">
        <v>585</v>
      </c>
      <c r="H373" s="22">
        <v>0</v>
      </c>
      <c r="I373" s="5">
        <v>250</v>
      </c>
      <c r="J373" s="23">
        <v>0.66964374821330896</v>
      </c>
      <c r="K373" s="22" t="s">
        <v>576</v>
      </c>
      <c r="L373" s="5" t="s">
        <v>480</v>
      </c>
      <c r="M373" s="5" t="s">
        <v>482</v>
      </c>
      <c r="N373" s="5" t="s">
        <v>481</v>
      </c>
      <c r="O373" s="5" t="s">
        <v>483</v>
      </c>
      <c r="P373" s="5">
        <v>0</v>
      </c>
      <c r="Q373" s="5">
        <v>34</v>
      </c>
      <c r="R373" s="5">
        <v>0</v>
      </c>
      <c r="S373" s="5" t="s">
        <v>21</v>
      </c>
      <c r="T373" s="5">
        <v>34</v>
      </c>
      <c r="U373" s="24"/>
      <c r="V373" s="5" t="s">
        <v>770</v>
      </c>
    </row>
    <row r="374" spans="1:22" x14ac:dyDescent="0.3">
      <c r="A374" s="5">
        <v>373</v>
      </c>
      <c r="B374" s="5" t="s">
        <v>372</v>
      </c>
      <c r="C374" s="5">
        <v>95113</v>
      </c>
      <c r="D374" s="5" t="str">
        <f>"467-46-014"</f>
        <v>467-46-014</v>
      </c>
      <c r="E374" s="5" t="s">
        <v>557</v>
      </c>
      <c r="F374" s="5" t="s">
        <v>20</v>
      </c>
      <c r="G374" s="22" t="s">
        <v>584</v>
      </c>
      <c r="H374" s="22">
        <v>0</v>
      </c>
      <c r="I374" s="5">
        <v>800</v>
      </c>
      <c r="J374" s="23">
        <v>0.13388321931123501</v>
      </c>
      <c r="K374" s="22" t="s">
        <v>577</v>
      </c>
      <c r="L374" s="5" t="s">
        <v>480</v>
      </c>
      <c r="M374" s="5" t="s">
        <v>482</v>
      </c>
      <c r="N374" s="5" t="s">
        <v>481</v>
      </c>
      <c r="O374" s="5" t="s">
        <v>483</v>
      </c>
      <c r="P374" s="5">
        <v>0</v>
      </c>
      <c r="Q374" s="5">
        <v>15</v>
      </c>
      <c r="R374" s="5">
        <v>0</v>
      </c>
      <c r="S374" s="5" t="s">
        <v>21</v>
      </c>
      <c r="T374" s="5">
        <v>15</v>
      </c>
      <c r="U374" s="24"/>
      <c r="V374" s="5" t="s">
        <v>756</v>
      </c>
    </row>
    <row r="375" spans="1:22" x14ac:dyDescent="0.3">
      <c r="A375" s="5">
        <v>374</v>
      </c>
      <c r="B375" s="5" t="s">
        <v>242</v>
      </c>
      <c r="C375" s="5">
        <v>95110</v>
      </c>
      <c r="D375" s="5" t="str">
        <f>"259-29-006"</f>
        <v>259-29-006</v>
      </c>
      <c r="E375" s="5" t="s">
        <v>528</v>
      </c>
      <c r="F375" s="5" t="s">
        <v>20</v>
      </c>
      <c r="G375" s="22" t="s">
        <v>584</v>
      </c>
      <c r="H375" s="22">
        <v>0</v>
      </c>
      <c r="I375" s="5">
        <v>800</v>
      </c>
      <c r="J375" s="23">
        <v>0.16003426883494801</v>
      </c>
      <c r="K375" s="22" t="s">
        <v>581</v>
      </c>
      <c r="L375" s="5" t="s">
        <v>480</v>
      </c>
      <c r="M375" s="5" t="s">
        <v>482</v>
      </c>
      <c r="N375" s="5" t="s">
        <v>481</v>
      </c>
      <c r="O375" s="5" t="s">
        <v>483</v>
      </c>
      <c r="P375" s="5">
        <v>0</v>
      </c>
      <c r="Q375" s="5">
        <v>28</v>
      </c>
      <c r="R375" s="5">
        <v>0</v>
      </c>
      <c r="S375" s="5" t="s">
        <v>21</v>
      </c>
      <c r="T375" s="5">
        <v>28</v>
      </c>
      <c r="U375" s="24"/>
      <c r="V375" s="5" t="s">
        <v>596</v>
      </c>
    </row>
    <row r="376" spans="1:22" x14ac:dyDescent="0.3">
      <c r="A376" s="5">
        <v>375</v>
      </c>
      <c r="B376" s="5" t="s">
        <v>104</v>
      </c>
      <c r="C376" s="5">
        <v>95128</v>
      </c>
      <c r="D376" s="5" t="str">
        <f>"279-27-002"</f>
        <v>279-27-002</v>
      </c>
      <c r="E376" s="5" t="s">
        <v>501</v>
      </c>
      <c r="F376" s="5" t="s">
        <v>50</v>
      </c>
      <c r="G376" s="22" t="s">
        <v>96</v>
      </c>
      <c r="H376" s="22">
        <v>45</v>
      </c>
      <c r="I376" s="5">
        <v>95</v>
      </c>
      <c r="J376" s="23">
        <v>0.24988721255886601</v>
      </c>
      <c r="K376" s="22" t="s">
        <v>576</v>
      </c>
      <c r="L376" s="5" t="s">
        <v>480</v>
      </c>
      <c r="M376" s="5" t="s">
        <v>482</v>
      </c>
      <c r="N376" s="5" t="s">
        <v>481</v>
      </c>
      <c r="O376" s="5" t="s">
        <v>483</v>
      </c>
      <c r="P376" s="5">
        <v>0</v>
      </c>
      <c r="Q376" s="5">
        <v>11</v>
      </c>
      <c r="R376" s="5">
        <v>0</v>
      </c>
      <c r="S376" s="5" t="s">
        <v>21</v>
      </c>
      <c r="T376" s="5">
        <v>11</v>
      </c>
      <c r="U376" s="24"/>
      <c r="V376" s="5" t="s">
        <v>627</v>
      </c>
    </row>
    <row r="377" spans="1:22" x14ac:dyDescent="0.3">
      <c r="A377" s="5">
        <v>376</v>
      </c>
      <c r="B377" s="5" t="s">
        <v>373</v>
      </c>
      <c r="C377" s="5">
        <v>95112</v>
      </c>
      <c r="D377" s="5" t="str">
        <f>"467-46-009"</f>
        <v>467-46-009</v>
      </c>
      <c r="E377" s="5" t="s">
        <v>558</v>
      </c>
      <c r="F377" s="5" t="s">
        <v>20</v>
      </c>
      <c r="G377" s="22" t="s">
        <v>584</v>
      </c>
      <c r="H377" s="22">
        <v>0</v>
      </c>
      <c r="I377" s="5">
        <v>800</v>
      </c>
      <c r="J377" s="23">
        <v>0.18421565165868301</v>
      </c>
      <c r="K377" s="22" t="s">
        <v>579</v>
      </c>
      <c r="L377" s="5" t="s">
        <v>480</v>
      </c>
      <c r="M377" s="5" t="s">
        <v>482</v>
      </c>
      <c r="N377" s="5" t="s">
        <v>481</v>
      </c>
      <c r="O377" s="5" t="s">
        <v>483</v>
      </c>
      <c r="P377" s="5">
        <v>0</v>
      </c>
      <c r="Q377" s="5">
        <v>23</v>
      </c>
      <c r="R377" s="5">
        <v>0</v>
      </c>
      <c r="S377" s="5" t="s">
        <v>21</v>
      </c>
      <c r="T377" s="5">
        <v>23</v>
      </c>
      <c r="U377" s="24"/>
      <c r="V377" s="5" t="s">
        <v>614</v>
      </c>
    </row>
    <row r="378" spans="1:22" x14ac:dyDescent="0.3">
      <c r="A378" s="5">
        <v>377</v>
      </c>
      <c r="B378" s="5" t="s">
        <v>115</v>
      </c>
      <c r="C378" s="5">
        <v>95128</v>
      </c>
      <c r="D378" s="5" t="str">
        <f>"282-28-013"</f>
        <v>282-28-013</v>
      </c>
      <c r="E378" s="5" t="s">
        <v>488</v>
      </c>
      <c r="F378" s="5" t="s">
        <v>9</v>
      </c>
      <c r="G378" s="22" t="s">
        <v>18</v>
      </c>
      <c r="H378" s="22">
        <v>0</v>
      </c>
      <c r="I378" s="5">
        <v>150</v>
      </c>
      <c r="J378" s="23">
        <v>0.62925669391365902</v>
      </c>
      <c r="K378" s="22" t="s">
        <v>582</v>
      </c>
      <c r="L378" s="5" t="s">
        <v>480</v>
      </c>
      <c r="M378" s="5" t="s">
        <v>482</v>
      </c>
      <c r="N378" s="5" t="s">
        <v>481</v>
      </c>
      <c r="O378" s="5" t="s">
        <v>483</v>
      </c>
      <c r="P378" s="5">
        <v>0</v>
      </c>
      <c r="Q378" s="5">
        <v>45</v>
      </c>
      <c r="R378" s="5">
        <v>0</v>
      </c>
      <c r="S378" s="5" t="s">
        <v>21</v>
      </c>
      <c r="T378" s="5">
        <v>45</v>
      </c>
      <c r="U378" s="24"/>
      <c r="V378" s="5" t="s">
        <v>660</v>
      </c>
    </row>
    <row r="379" spans="1:22" x14ac:dyDescent="0.3">
      <c r="A379" s="5">
        <v>378</v>
      </c>
      <c r="B379" s="5" t="s">
        <v>268</v>
      </c>
      <c r="C379" s="5">
        <v>95126</v>
      </c>
      <c r="D379" s="5" t="str">
        <f>"259-47-032"</f>
        <v>259-47-032</v>
      </c>
      <c r="E379" s="5" t="s">
        <v>534</v>
      </c>
      <c r="F379" s="5" t="s">
        <v>20</v>
      </c>
      <c r="G379" s="22" t="s">
        <v>584</v>
      </c>
      <c r="H379" s="22">
        <v>0</v>
      </c>
      <c r="I379" s="5">
        <v>800</v>
      </c>
      <c r="J379" s="23">
        <v>0.108228047918335</v>
      </c>
      <c r="K379" s="22" t="s">
        <v>580</v>
      </c>
      <c r="L379" s="5" t="s">
        <v>480</v>
      </c>
      <c r="M379" s="5" t="s">
        <v>482</v>
      </c>
      <c r="N379" s="5" t="s">
        <v>481</v>
      </c>
      <c r="O379" s="5" t="s">
        <v>483</v>
      </c>
      <c r="P379" s="5">
        <v>0</v>
      </c>
      <c r="Q379" s="5">
        <v>17</v>
      </c>
      <c r="R379" s="5">
        <v>0</v>
      </c>
      <c r="S379" s="5" t="s">
        <v>21</v>
      </c>
      <c r="T379" s="5">
        <v>17</v>
      </c>
      <c r="U379" s="24"/>
      <c r="V379" s="5" t="s">
        <v>745</v>
      </c>
    </row>
    <row r="380" spans="1:22" x14ac:dyDescent="0.3">
      <c r="A380" s="5">
        <v>379</v>
      </c>
      <c r="B380" s="5" t="s">
        <v>410</v>
      </c>
      <c r="C380" s="5">
        <v>95111</v>
      </c>
      <c r="D380" s="5" t="str">
        <f>"497-08-022"</f>
        <v>497-08-022</v>
      </c>
      <c r="E380" s="5"/>
      <c r="F380" s="5" t="s">
        <v>5</v>
      </c>
      <c r="G380" s="22" t="s">
        <v>500</v>
      </c>
      <c r="H380" s="22">
        <v>0</v>
      </c>
      <c r="I380" s="5">
        <v>0</v>
      </c>
      <c r="J380" s="23">
        <v>1.21486029871796</v>
      </c>
      <c r="K380" s="22" t="s">
        <v>575</v>
      </c>
      <c r="L380" s="5" t="s">
        <v>480</v>
      </c>
      <c r="M380" s="5" t="s">
        <v>482</v>
      </c>
      <c r="N380" s="5" t="s">
        <v>481</v>
      </c>
      <c r="O380" s="5" t="s">
        <v>483</v>
      </c>
      <c r="P380" s="5">
        <v>0</v>
      </c>
      <c r="Q380" s="5">
        <v>88</v>
      </c>
      <c r="R380" s="5">
        <v>0</v>
      </c>
      <c r="S380" s="5" t="s">
        <v>21</v>
      </c>
      <c r="T380" s="5">
        <v>88</v>
      </c>
      <c r="U380" s="24"/>
      <c r="V380" s="5" t="s">
        <v>837</v>
      </c>
    </row>
    <row r="381" spans="1:22" x14ac:dyDescent="0.3">
      <c r="A381" s="5">
        <v>380</v>
      </c>
      <c r="B381" s="5" t="s">
        <v>318</v>
      </c>
      <c r="C381" s="5">
        <v>95126</v>
      </c>
      <c r="D381" s="5" t="str">
        <f>"264-07-040"</f>
        <v>264-07-040</v>
      </c>
      <c r="E381" s="5"/>
      <c r="F381" s="5" t="s">
        <v>33</v>
      </c>
      <c r="G381" s="22" t="s">
        <v>34</v>
      </c>
      <c r="H381" s="22">
        <v>0</v>
      </c>
      <c r="I381" s="5">
        <v>30</v>
      </c>
      <c r="J381" s="23">
        <v>0.58158770759888401</v>
      </c>
      <c r="K381" s="22" t="s">
        <v>576</v>
      </c>
      <c r="L381" s="5" t="s">
        <v>480</v>
      </c>
      <c r="M381" s="5" t="s">
        <v>482</v>
      </c>
      <c r="N381" s="5" t="s">
        <v>481</v>
      </c>
      <c r="O381" s="5" t="s">
        <v>483</v>
      </c>
      <c r="P381" s="5">
        <v>0</v>
      </c>
      <c r="Q381" s="5">
        <v>6</v>
      </c>
      <c r="R381" s="5">
        <v>0</v>
      </c>
      <c r="S381" s="5" t="s">
        <v>21</v>
      </c>
      <c r="T381" s="5">
        <v>6</v>
      </c>
      <c r="U381" s="24"/>
      <c r="V381" s="5" t="s">
        <v>741</v>
      </c>
    </row>
    <row r="382" spans="1:22" x14ac:dyDescent="0.3">
      <c r="A382" s="5">
        <v>381</v>
      </c>
      <c r="B382" s="5" t="s">
        <v>49</v>
      </c>
      <c r="C382" s="5">
        <v>95125</v>
      </c>
      <c r="D382" s="5" t="str">
        <f>"434-26-032"</f>
        <v>434-26-032</v>
      </c>
      <c r="E382" s="5"/>
      <c r="F382" s="5" t="s">
        <v>50</v>
      </c>
      <c r="G382" s="22" t="s">
        <v>96</v>
      </c>
      <c r="H382" s="22">
        <v>30</v>
      </c>
      <c r="I382" s="5">
        <v>95</v>
      </c>
      <c r="J382" s="23">
        <v>2.9568793944974399</v>
      </c>
      <c r="K382" s="22" t="s">
        <v>576</v>
      </c>
      <c r="L382" s="5" t="s">
        <v>480</v>
      </c>
      <c r="M382" s="5" t="s">
        <v>482</v>
      </c>
      <c r="N382" s="5" t="s">
        <v>481</v>
      </c>
      <c r="O382" s="5" t="s">
        <v>483</v>
      </c>
      <c r="P382" s="5">
        <v>0</v>
      </c>
      <c r="Q382" s="5">
        <v>175</v>
      </c>
      <c r="R382" s="5">
        <v>0</v>
      </c>
      <c r="S382" s="5" t="s">
        <v>21</v>
      </c>
      <c r="T382" s="5">
        <v>175</v>
      </c>
      <c r="U382" s="24"/>
      <c r="V382" s="5" t="s">
        <v>620</v>
      </c>
    </row>
    <row r="383" spans="1:22" x14ac:dyDescent="0.3">
      <c r="A383" s="5">
        <v>382</v>
      </c>
      <c r="B383" s="5" t="s">
        <v>78</v>
      </c>
      <c r="C383" s="5">
        <v>95111</v>
      </c>
      <c r="D383" s="5" t="str">
        <f>"497-08-019"</f>
        <v>497-08-019</v>
      </c>
      <c r="E383" s="5" t="s">
        <v>842</v>
      </c>
      <c r="F383" s="5" t="s">
        <v>5</v>
      </c>
      <c r="G383" s="22" t="s">
        <v>508</v>
      </c>
      <c r="H383" s="22">
        <v>0</v>
      </c>
      <c r="I383" s="5">
        <v>0</v>
      </c>
      <c r="J383" s="23">
        <v>0.17628147719263601</v>
      </c>
      <c r="K383" s="28" t="s">
        <v>582</v>
      </c>
      <c r="L383" s="5" t="s">
        <v>480</v>
      </c>
      <c r="M383" s="5" t="s">
        <v>482</v>
      </c>
      <c r="N383" s="5" t="s">
        <v>481</v>
      </c>
      <c r="O383" s="5" t="s">
        <v>483</v>
      </c>
      <c r="P383" s="5">
        <v>0</v>
      </c>
      <c r="Q383" s="5">
        <v>11</v>
      </c>
      <c r="R383" s="5">
        <v>0</v>
      </c>
      <c r="S383" s="5" t="s">
        <v>21</v>
      </c>
      <c r="T383" s="5">
        <v>11</v>
      </c>
      <c r="U383" s="24"/>
      <c r="V383" s="5" t="s">
        <v>816</v>
      </c>
    </row>
    <row r="384" spans="1:22" x14ac:dyDescent="0.3">
      <c r="A384" s="5">
        <v>383</v>
      </c>
      <c r="B384" s="5" t="s">
        <v>435</v>
      </c>
      <c r="C384" s="5">
        <v>95111</v>
      </c>
      <c r="D384" s="5" t="str">
        <f>"497-27-111"</f>
        <v>497-27-111</v>
      </c>
      <c r="E384" s="5"/>
      <c r="F384" s="5" t="s">
        <v>29</v>
      </c>
      <c r="G384" s="22" t="s">
        <v>37</v>
      </c>
      <c r="H384" s="22">
        <v>0</v>
      </c>
      <c r="I384" s="5">
        <v>50</v>
      </c>
      <c r="J384" s="23">
        <v>0.55540851248742895</v>
      </c>
      <c r="K384" s="22" t="s">
        <v>577</v>
      </c>
      <c r="L384" s="5" t="s">
        <v>480</v>
      </c>
      <c r="M384" s="5" t="s">
        <v>482</v>
      </c>
      <c r="N384" s="5" t="s">
        <v>481</v>
      </c>
      <c r="O384" s="5" t="s">
        <v>483</v>
      </c>
      <c r="P384" s="5">
        <v>0</v>
      </c>
      <c r="Q384" s="5">
        <v>13</v>
      </c>
      <c r="R384" s="5">
        <v>0</v>
      </c>
      <c r="S384" s="5" t="s">
        <v>21</v>
      </c>
      <c r="T384" s="5">
        <v>13</v>
      </c>
      <c r="U384" s="24"/>
      <c r="V384" s="5" t="s">
        <v>769</v>
      </c>
    </row>
    <row r="385" spans="1:22" x14ac:dyDescent="0.3">
      <c r="A385" s="5">
        <v>384</v>
      </c>
      <c r="B385" s="5" t="s">
        <v>343</v>
      </c>
      <c r="C385" s="5">
        <v>95113</v>
      </c>
      <c r="D385" s="5" t="str">
        <f>"264-30-082"</f>
        <v>264-30-082</v>
      </c>
      <c r="E385" s="5" t="s">
        <v>550</v>
      </c>
      <c r="F385" s="5" t="s">
        <v>20</v>
      </c>
      <c r="G385" s="22" t="s">
        <v>584</v>
      </c>
      <c r="H385" s="22">
        <v>0</v>
      </c>
      <c r="I385" s="5">
        <v>800</v>
      </c>
      <c r="J385" s="23">
        <v>0.15504012548233201</v>
      </c>
      <c r="K385" s="22" t="s">
        <v>582</v>
      </c>
      <c r="L385" s="5" t="s">
        <v>480</v>
      </c>
      <c r="M385" s="5" t="s">
        <v>482</v>
      </c>
      <c r="N385" s="5" t="s">
        <v>481</v>
      </c>
      <c r="O385" s="5" t="s">
        <v>483</v>
      </c>
      <c r="P385" s="5">
        <v>0</v>
      </c>
      <c r="Q385" s="5">
        <v>28</v>
      </c>
      <c r="R385" s="5">
        <v>0</v>
      </c>
      <c r="S385" s="5" t="s">
        <v>21</v>
      </c>
      <c r="T385" s="5">
        <v>28</v>
      </c>
      <c r="U385" s="24"/>
      <c r="V385" s="5" t="s">
        <v>600</v>
      </c>
    </row>
    <row r="386" spans="1:22" x14ac:dyDescent="0.3">
      <c r="A386" s="5">
        <v>385</v>
      </c>
      <c r="B386" s="5" t="s">
        <v>282</v>
      </c>
      <c r="C386" s="5">
        <v>95110</v>
      </c>
      <c r="D386" s="5" t="str">
        <f>"259-47-048"</f>
        <v>259-47-048</v>
      </c>
      <c r="E386" s="5" t="s">
        <v>536</v>
      </c>
      <c r="F386" s="5" t="s">
        <v>20</v>
      </c>
      <c r="G386" s="22" t="s">
        <v>584</v>
      </c>
      <c r="H386" s="22">
        <v>0</v>
      </c>
      <c r="I386" s="5">
        <v>800</v>
      </c>
      <c r="J386" s="23">
        <v>7.1916509400108894E-2</v>
      </c>
      <c r="K386" s="22" t="s">
        <v>581</v>
      </c>
      <c r="L386" s="5" t="s">
        <v>480</v>
      </c>
      <c r="M386" s="5" t="s">
        <v>482</v>
      </c>
      <c r="N386" s="5" t="s">
        <v>481</v>
      </c>
      <c r="O386" s="5" t="s">
        <v>483</v>
      </c>
      <c r="P386" s="5">
        <v>0</v>
      </c>
      <c r="Q386" s="5">
        <v>11</v>
      </c>
      <c r="R386" s="5">
        <v>0</v>
      </c>
      <c r="S386" s="5" t="s">
        <v>21</v>
      </c>
      <c r="T386" s="5">
        <v>11</v>
      </c>
      <c r="U386" s="24"/>
      <c r="V386" s="5" t="s">
        <v>748</v>
      </c>
    </row>
    <row r="387" spans="1:22" x14ac:dyDescent="0.3">
      <c r="A387" s="5">
        <v>386</v>
      </c>
      <c r="B387" s="5" t="s">
        <v>335</v>
      </c>
      <c r="C387" s="5">
        <v>95110</v>
      </c>
      <c r="D387" s="5" t="str">
        <f>"264-26-034"</f>
        <v>264-26-034</v>
      </c>
      <c r="E387" s="5" t="s">
        <v>548</v>
      </c>
      <c r="F387" s="5" t="s">
        <v>20</v>
      </c>
      <c r="G387" s="22" t="s">
        <v>584</v>
      </c>
      <c r="H387" s="22">
        <v>0</v>
      </c>
      <c r="I387" s="5">
        <v>800</v>
      </c>
      <c r="J387" s="23">
        <v>0.32556284253517398</v>
      </c>
      <c r="K387" s="22" t="s">
        <v>580</v>
      </c>
      <c r="L387" s="5" t="s">
        <v>480</v>
      </c>
      <c r="M387" s="5" t="s">
        <v>482</v>
      </c>
      <c r="N387" s="5" t="s">
        <v>481</v>
      </c>
      <c r="O387" s="5" t="s">
        <v>483</v>
      </c>
      <c r="P387" s="5">
        <v>0</v>
      </c>
      <c r="Q387" s="5">
        <v>43</v>
      </c>
      <c r="R387" s="5">
        <v>0</v>
      </c>
      <c r="S387" s="5" t="s">
        <v>21</v>
      </c>
      <c r="T387" s="5">
        <v>43</v>
      </c>
      <c r="U387" s="24"/>
      <c r="V387" s="5" t="s">
        <v>625</v>
      </c>
    </row>
    <row r="388" spans="1:22" x14ac:dyDescent="0.3">
      <c r="A388" s="5">
        <v>387</v>
      </c>
      <c r="B388" s="5" t="s">
        <v>239</v>
      </c>
      <c r="C388" s="5">
        <v>95110</v>
      </c>
      <c r="D388" s="5" t="str">
        <f>"259-22-052"</f>
        <v>259-22-052</v>
      </c>
      <c r="E388" s="5"/>
      <c r="F388" s="5" t="s">
        <v>20</v>
      </c>
      <c r="G388" s="22" t="s">
        <v>584</v>
      </c>
      <c r="H388" s="22">
        <v>0</v>
      </c>
      <c r="I388" s="5">
        <v>0</v>
      </c>
      <c r="J388" s="23">
        <v>0.64464406440787403</v>
      </c>
      <c r="K388" s="22" t="s">
        <v>580</v>
      </c>
      <c r="L388" s="5" t="s">
        <v>480</v>
      </c>
      <c r="M388" s="5" t="s">
        <v>482</v>
      </c>
      <c r="N388" s="5" t="s">
        <v>481</v>
      </c>
      <c r="O388" s="5" t="s">
        <v>483</v>
      </c>
      <c r="P388" s="5">
        <v>0</v>
      </c>
      <c r="Q388" s="5">
        <v>86</v>
      </c>
      <c r="R388" s="5">
        <v>0</v>
      </c>
      <c r="S388" s="5" t="s">
        <v>21</v>
      </c>
      <c r="T388" s="5">
        <v>86</v>
      </c>
      <c r="U388" s="24"/>
      <c r="V388" s="5" t="s">
        <v>831</v>
      </c>
    </row>
    <row r="389" spans="1:22" x14ac:dyDescent="0.3">
      <c r="A389" s="5">
        <v>388</v>
      </c>
      <c r="B389" s="5" t="s">
        <v>147</v>
      </c>
      <c r="C389" s="5">
        <v>95117</v>
      </c>
      <c r="D389" s="5" t="str">
        <f>"303-25-032"</f>
        <v>303-25-032</v>
      </c>
      <c r="E389" s="5" t="s">
        <v>511</v>
      </c>
      <c r="F389" s="5" t="s">
        <v>9</v>
      </c>
      <c r="G389" s="22" t="s">
        <v>18</v>
      </c>
      <c r="H389" s="22">
        <v>65</v>
      </c>
      <c r="I389" s="5">
        <v>250</v>
      </c>
      <c r="J389" s="23">
        <v>0.70854898809299105</v>
      </c>
      <c r="K389" s="22" t="s">
        <v>576</v>
      </c>
      <c r="L389" s="5" t="s">
        <v>480</v>
      </c>
      <c r="M389" s="5" t="s">
        <v>482</v>
      </c>
      <c r="N389" s="5" t="s">
        <v>481</v>
      </c>
      <c r="O389" s="5" t="s">
        <v>483</v>
      </c>
      <c r="P389" s="5">
        <v>0</v>
      </c>
      <c r="Q389" s="5">
        <v>46</v>
      </c>
      <c r="R389" s="5">
        <v>0</v>
      </c>
      <c r="S389" s="5" t="s">
        <v>21</v>
      </c>
      <c r="T389" s="5">
        <v>46</v>
      </c>
      <c r="U389" s="24"/>
      <c r="V389" s="5" t="s">
        <v>682</v>
      </c>
    </row>
    <row r="390" spans="1:22" x14ac:dyDescent="0.3">
      <c r="A390" s="5">
        <v>389</v>
      </c>
      <c r="B390" s="5" t="s">
        <v>78</v>
      </c>
      <c r="C390" s="5">
        <v>95111</v>
      </c>
      <c r="D390" s="5" t="str">
        <f>"497-51-012"</f>
        <v>497-51-012</v>
      </c>
      <c r="E390" s="5"/>
      <c r="F390" s="5" t="s">
        <v>54</v>
      </c>
      <c r="G390" s="22" t="s">
        <v>589</v>
      </c>
      <c r="H390" s="22">
        <v>0</v>
      </c>
      <c r="I390" s="5">
        <v>8</v>
      </c>
      <c r="J390" s="23">
        <v>0.75979461791878899</v>
      </c>
      <c r="K390" s="22" t="s">
        <v>582</v>
      </c>
      <c r="L390" s="5" t="s">
        <v>480</v>
      </c>
      <c r="M390" s="5" t="s">
        <v>482</v>
      </c>
      <c r="N390" s="5" t="s">
        <v>481</v>
      </c>
      <c r="O390" s="5" t="s">
        <v>483</v>
      </c>
      <c r="P390" s="5">
        <v>0</v>
      </c>
      <c r="Q390" s="5">
        <v>6</v>
      </c>
      <c r="R390" s="5">
        <v>0</v>
      </c>
      <c r="S390" s="5" t="s">
        <v>21</v>
      </c>
      <c r="T390" s="5">
        <v>6</v>
      </c>
      <c r="U390" s="24"/>
      <c r="V390" s="5" t="s">
        <v>820</v>
      </c>
    </row>
    <row r="391" spans="1:22" x14ac:dyDescent="0.3">
      <c r="A391" s="5">
        <v>390</v>
      </c>
      <c r="B391" s="5" t="s">
        <v>78</v>
      </c>
      <c r="C391" s="5">
        <v>95112</v>
      </c>
      <c r="D391" s="5" t="str">
        <f>"467-20-054"</f>
        <v>467-20-054</v>
      </c>
      <c r="E391" s="5" t="s">
        <v>554</v>
      </c>
      <c r="F391" s="5" t="s">
        <v>20</v>
      </c>
      <c r="G391" s="22" t="s">
        <v>584</v>
      </c>
      <c r="H391" s="22">
        <v>0</v>
      </c>
      <c r="I391" s="5">
        <v>800</v>
      </c>
      <c r="J391" s="23">
        <v>0.12663498210795299</v>
      </c>
      <c r="K391" s="22" t="s">
        <v>582</v>
      </c>
      <c r="L391" s="5" t="s">
        <v>480</v>
      </c>
      <c r="M391" s="5" t="s">
        <v>482</v>
      </c>
      <c r="N391" s="5" t="s">
        <v>481</v>
      </c>
      <c r="O391" s="5" t="s">
        <v>483</v>
      </c>
      <c r="P391" s="5">
        <v>0</v>
      </c>
      <c r="Q391" s="5">
        <v>22</v>
      </c>
      <c r="R391" s="5">
        <v>0</v>
      </c>
      <c r="S391" s="5" t="s">
        <v>21</v>
      </c>
      <c r="T391" s="5">
        <v>22</v>
      </c>
      <c r="U391" s="24"/>
      <c r="V391" s="5" t="s">
        <v>822</v>
      </c>
    </row>
    <row r="392" spans="1:22" x14ac:dyDescent="0.3">
      <c r="A392" s="5">
        <v>391</v>
      </c>
      <c r="B392" s="5" t="s">
        <v>258</v>
      </c>
      <c r="C392" s="5">
        <v>95110</v>
      </c>
      <c r="D392" s="5" t="str">
        <f>"259-46-056"</f>
        <v>259-46-056</v>
      </c>
      <c r="E392" s="5" t="s">
        <v>532</v>
      </c>
      <c r="F392" s="5" t="s">
        <v>20</v>
      </c>
      <c r="G392" s="22" t="s">
        <v>584</v>
      </c>
      <c r="H392" s="22">
        <v>0</v>
      </c>
      <c r="I392" s="5">
        <v>800</v>
      </c>
      <c r="J392" s="23">
        <v>0.13382097617854599</v>
      </c>
      <c r="K392" s="22" t="s">
        <v>577</v>
      </c>
      <c r="L392" s="5" t="s">
        <v>480</v>
      </c>
      <c r="M392" s="5" t="s">
        <v>482</v>
      </c>
      <c r="N392" s="5" t="s">
        <v>481</v>
      </c>
      <c r="O392" s="5" t="s">
        <v>483</v>
      </c>
      <c r="P392" s="5">
        <v>0</v>
      </c>
      <c r="Q392" s="5">
        <v>16</v>
      </c>
      <c r="R392" s="5">
        <v>0</v>
      </c>
      <c r="S392" s="5" t="s">
        <v>21</v>
      </c>
      <c r="T392" s="5">
        <v>16</v>
      </c>
      <c r="U392" s="24"/>
      <c r="V392" s="5" t="s">
        <v>614</v>
      </c>
    </row>
    <row r="393" spans="1:22" x14ac:dyDescent="0.3">
      <c r="A393" s="5">
        <v>392</v>
      </c>
      <c r="B393" s="5" t="s">
        <v>237</v>
      </c>
      <c r="C393" s="5">
        <v>95110</v>
      </c>
      <c r="D393" s="5" t="str">
        <f>"259-22-043"</f>
        <v>259-22-043</v>
      </c>
      <c r="E393" s="5"/>
      <c r="F393" s="5" t="s">
        <v>20</v>
      </c>
      <c r="G393" s="22" t="s">
        <v>584</v>
      </c>
      <c r="H393" s="22">
        <v>0</v>
      </c>
      <c r="I393" s="5">
        <v>0</v>
      </c>
      <c r="J393" s="23">
        <v>0.216410975118108</v>
      </c>
      <c r="K393" s="22" t="s">
        <v>580</v>
      </c>
      <c r="L393" s="5" t="s">
        <v>480</v>
      </c>
      <c r="M393" s="5" t="s">
        <v>482</v>
      </c>
      <c r="N393" s="5" t="s">
        <v>481</v>
      </c>
      <c r="O393" s="5" t="s">
        <v>483</v>
      </c>
      <c r="P393" s="5">
        <v>0</v>
      </c>
      <c r="Q393" s="5">
        <v>29</v>
      </c>
      <c r="R393" s="5">
        <v>0</v>
      </c>
      <c r="S393" s="5" t="s">
        <v>21</v>
      </c>
      <c r="T393" s="5">
        <v>29</v>
      </c>
      <c r="U393" s="24"/>
      <c r="V393" s="5" t="s">
        <v>831</v>
      </c>
    </row>
    <row r="394" spans="1:22" x14ac:dyDescent="0.3">
      <c r="A394" s="5">
        <v>393</v>
      </c>
      <c r="B394" s="5" t="s">
        <v>361</v>
      </c>
      <c r="C394" s="5">
        <v>95112</v>
      </c>
      <c r="D394" s="5" t="str">
        <f>"467-20-069"</f>
        <v>467-20-069</v>
      </c>
      <c r="E394" s="5" t="s">
        <v>554</v>
      </c>
      <c r="F394" s="5" t="s">
        <v>20</v>
      </c>
      <c r="G394" s="22" t="s">
        <v>584</v>
      </c>
      <c r="H394" s="22">
        <v>0</v>
      </c>
      <c r="I394" s="5">
        <v>800</v>
      </c>
      <c r="J394" s="23">
        <v>0.134075084546907</v>
      </c>
      <c r="K394" s="22" t="s">
        <v>576</v>
      </c>
      <c r="L394" s="5" t="s">
        <v>480</v>
      </c>
      <c r="M394" s="5" t="s">
        <v>482</v>
      </c>
      <c r="N394" s="5" t="s">
        <v>481</v>
      </c>
      <c r="O394" s="5" t="s">
        <v>483</v>
      </c>
      <c r="P394" s="5">
        <v>0</v>
      </c>
      <c r="Q394" s="5">
        <v>20</v>
      </c>
      <c r="R394" s="5">
        <v>0</v>
      </c>
      <c r="S394" s="5" t="s">
        <v>21</v>
      </c>
      <c r="T394" s="5">
        <v>20</v>
      </c>
      <c r="U394" s="24"/>
      <c r="V394" s="5" t="s">
        <v>781</v>
      </c>
    </row>
    <row r="395" spans="1:22" x14ac:dyDescent="0.3">
      <c r="A395" s="5">
        <v>394</v>
      </c>
      <c r="B395" s="5" t="s">
        <v>317</v>
      </c>
      <c r="C395" s="5">
        <v>95126</v>
      </c>
      <c r="D395" s="5" t="str">
        <f>"264-06-005"</f>
        <v>264-06-005</v>
      </c>
      <c r="E395" s="5" t="s">
        <v>544</v>
      </c>
      <c r="F395" s="5" t="s">
        <v>33</v>
      </c>
      <c r="G395" s="22" t="s">
        <v>34</v>
      </c>
      <c r="H395" s="22">
        <v>0</v>
      </c>
      <c r="I395" s="5">
        <v>30</v>
      </c>
      <c r="J395" s="23">
        <v>0.84812177071267403</v>
      </c>
      <c r="K395" s="22" t="s">
        <v>579</v>
      </c>
      <c r="L395" s="5" t="s">
        <v>480</v>
      </c>
      <c r="M395" s="5" t="s">
        <v>482</v>
      </c>
      <c r="N395" s="5" t="s">
        <v>481</v>
      </c>
      <c r="O395" s="5" t="s">
        <v>483</v>
      </c>
      <c r="P395" s="5">
        <v>0</v>
      </c>
      <c r="Q395" s="5">
        <v>10</v>
      </c>
      <c r="R395" s="5">
        <v>0</v>
      </c>
      <c r="S395" s="5" t="s">
        <v>21</v>
      </c>
      <c r="T395" s="5">
        <v>10</v>
      </c>
      <c r="U395" s="24"/>
      <c r="V395" s="5" t="s">
        <v>606</v>
      </c>
    </row>
    <row r="396" spans="1:22" x14ac:dyDescent="0.3">
      <c r="A396" s="5">
        <v>395</v>
      </c>
      <c r="B396" s="5" t="s">
        <v>78</v>
      </c>
      <c r="C396" s="5">
        <v>95110</v>
      </c>
      <c r="D396" s="5" t="str">
        <f>"259-25-041"</f>
        <v>259-25-041</v>
      </c>
      <c r="E396" s="5"/>
      <c r="F396" s="5" t="s">
        <v>20</v>
      </c>
      <c r="G396" s="22" t="s">
        <v>584</v>
      </c>
      <c r="H396" s="22">
        <v>0</v>
      </c>
      <c r="I396" s="5">
        <v>800</v>
      </c>
      <c r="J396" s="23">
        <v>0.18905197140773</v>
      </c>
      <c r="K396" s="22" t="s">
        <v>580</v>
      </c>
      <c r="L396" s="5" t="s">
        <v>480</v>
      </c>
      <c r="M396" s="5" t="s">
        <v>482</v>
      </c>
      <c r="N396" s="5" t="s">
        <v>481</v>
      </c>
      <c r="O396" s="5" t="s">
        <v>483</v>
      </c>
      <c r="P396" s="5">
        <v>0</v>
      </c>
      <c r="Q396" s="5">
        <v>33</v>
      </c>
      <c r="R396" s="5">
        <v>0</v>
      </c>
      <c r="S396" s="5" t="s">
        <v>21</v>
      </c>
      <c r="T396" s="5">
        <v>33</v>
      </c>
      <c r="U396" s="24"/>
      <c r="V396" s="5" t="s">
        <v>694</v>
      </c>
    </row>
    <row r="397" spans="1:22" x14ac:dyDescent="0.3">
      <c r="A397" s="5">
        <v>396</v>
      </c>
      <c r="B397" s="5" t="s">
        <v>28</v>
      </c>
      <c r="C397" s="5">
        <v>95129</v>
      </c>
      <c r="D397" s="5" t="str">
        <f>"296-22-052"</f>
        <v>296-22-052</v>
      </c>
      <c r="E397" s="5" t="s">
        <v>489</v>
      </c>
      <c r="F397" s="5" t="s">
        <v>29</v>
      </c>
      <c r="G397" s="22" t="s">
        <v>37</v>
      </c>
      <c r="H397" s="22">
        <v>0</v>
      </c>
      <c r="I397" s="5">
        <v>75</v>
      </c>
      <c r="J397" s="23">
        <v>1.2214528153252999</v>
      </c>
      <c r="K397" s="22" t="s">
        <v>576</v>
      </c>
      <c r="L397" s="5" t="s">
        <v>480</v>
      </c>
      <c r="M397" s="5" t="s">
        <v>482</v>
      </c>
      <c r="N397" s="5" t="s">
        <v>481</v>
      </c>
      <c r="O397" s="5" t="s">
        <v>483</v>
      </c>
      <c r="P397" s="5">
        <v>0</v>
      </c>
      <c r="Q397" s="5">
        <v>75</v>
      </c>
      <c r="R397" s="5">
        <v>0</v>
      </c>
      <c r="S397" s="5" t="s">
        <v>21</v>
      </c>
      <c r="T397" s="5">
        <v>75</v>
      </c>
      <c r="U397" s="24"/>
      <c r="V397" s="5" t="s">
        <v>606</v>
      </c>
    </row>
    <row r="398" spans="1:22" x14ac:dyDescent="0.3">
      <c r="A398" s="5">
        <v>397</v>
      </c>
      <c r="B398" s="5" t="s">
        <v>152</v>
      </c>
      <c r="C398" s="5">
        <v>95117</v>
      </c>
      <c r="D398" s="5" t="str">
        <f>"303-26-008"</f>
        <v>303-26-008</v>
      </c>
      <c r="E398" s="5" t="s">
        <v>512</v>
      </c>
      <c r="F398" s="5" t="s">
        <v>9</v>
      </c>
      <c r="G398" s="22" t="s">
        <v>18</v>
      </c>
      <c r="H398" s="22">
        <v>65</v>
      </c>
      <c r="I398" s="5">
        <v>250</v>
      </c>
      <c r="J398" s="23">
        <v>0.301076836282825</v>
      </c>
      <c r="K398" s="22" t="s">
        <v>576</v>
      </c>
      <c r="L398" s="5" t="s">
        <v>480</v>
      </c>
      <c r="M398" s="5" t="s">
        <v>482</v>
      </c>
      <c r="N398" s="5" t="s">
        <v>481</v>
      </c>
      <c r="O398" s="5" t="s">
        <v>483</v>
      </c>
      <c r="P398" s="5">
        <v>0</v>
      </c>
      <c r="Q398" s="5">
        <v>20</v>
      </c>
      <c r="R398" s="5">
        <v>0</v>
      </c>
      <c r="S398" s="5" t="s">
        <v>21</v>
      </c>
      <c r="T398" s="5">
        <v>20</v>
      </c>
      <c r="U398" s="24"/>
      <c r="V398" s="5" t="s">
        <v>686</v>
      </c>
    </row>
    <row r="399" spans="1:22" x14ac:dyDescent="0.3">
      <c r="A399" s="5">
        <v>398</v>
      </c>
      <c r="B399" s="5" t="s">
        <v>78</v>
      </c>
      <c r="C399" s="5">
        <v>95129</v>
      </c>
      <c r="D399" s="5" t="str">
        <f>"294-40-001"</f>
        <v>294-40-001</v>
      </c>
      <c r="E399" s="5" t="s">
        <v>507</v>
      </c>
      <c r="F399" s="5" t="s">
        <v>9</v>
      </c>
      <c r="G399" s="22" t="s">
        <v>18</v>
      </c>
      <c r="H399" s="22">
        <v>65</v>
      </c>
      <c r="I399" s="5">
        <v>250</v>
      </c>
      <c r="J399" s="23">
        <v>9.0775273968736803E-2</v>
      </c>
      <c r="K399" s="22" t="s">
        <v>576</v>
      </c>
      <c r="L399" s="5" t="s">
        <v>480</v>
      </c>
      <c r="M399" s="5" t="s">
        <v>482</v>
      </c>
      <c r="N399" s="5" t="s">
        <v>481</v>
      </c>
      <c r="O399" s="5" t="s">
        <v>483</v>
      </c>
      <c r="P399" s="5">
        <v>0</v>
      </c>
      <c r="Q399" s="5">
        <v>6</v>
      </c>
      <c r="R399" s="5">
        <v>0</v>
      </c>
      <c r="S399" s="5" t="s">
        <v>21</v>
      </c>
      <c r="T399" s="5">
        <v>6</v>
      </c>
      <c r="U399" s="24"/>
      <c r="V399" s="5" t="s">
        <v>694</v>
      </c>
    </row>
    <row r="400" spans="1:22" x14ac:dyDescent="0.3">
      <c r="A400" s="5">
        <v>399</v>
      </c>
      <c r="B400" s="5" t="s">
        <v>141</v>
      </c>
      <c r="C400" s="5">
        <v>95128</v>
      </c>
      <c r="D400" s="5" t="str">
        <f>"299-25-035"</f>
        <v>299-25-035</v>
      </c>
      <c r="E400" s="5"/>
      <c r="F400" s="5" t="s">
        <v>29</v>
      </c>
      <c r="G400" s="22" t="s">
        <v>37</v>
      </c>
      <c r="H400" s="22">
        <v>0</v>
      </c>
      <c r="I400" s="5">
        <v>75</v>
      </c>
      <c r="J400" s="23">
        <v>8.9130603574622</v>
      </c>
      <c r="K400" s="22" t="s">
        <v>576</v>
      </c>
      <c r="L400" s="5" t="s">
        <v>480</v>
      </c>
      <c r="M400" s="5" t="s">
        <v>482</v>
      </c>
      <c r="N400" s="5" t="s">
        <v>481</v>
      </c>
      <c r="O400" s="5" t="s">
        <v>483</v>
      </c>
      <c r="P400" s="5">
        <v>0</v>
      </c>
      <c r="Q400" s="5">
        <v>516</v>
      </c>
      <c r="R400" s="5">
        <v>0</v>
      </c>
      <c r="S400" s="5" t="s">
        <v>21</v>
      </c>
      <c r="T400" s="5">
        <v>516</v>
      </c>
      <c r="U400" s="24"/>
      <c r="V400" s="5" t="s">
        <v>679</v>
      </c>
    </row>
    <row r="401" spans="1:22" x14ac:dyDescent="0.3">
      <c r="A401" s="5">
        <v>400</v>
      </c>
      <c r="B401" s="5" t="s">
        <v>78</v>
      </c>
      <c r="C401" s="5">
        <v>95110</v>
      </c>
      <c r="D401" s="5" t="str">
        <f>"259-31-079"</f>
        <v>259-31-079</v>
      </c>
      <c r="E401" s="5" t="s">
        <v>573</v>
      </c>
      <c r="F401" s="5" t="s">
        <v>20</v>
      </c>
      <c r="G401" s="22" t="s">
        <v>584</v>
      </c>
      <c r="H401" s="22">
        <v>0</v>
      </c>
      <c r="I401" s="5">
        <v>800</v>
      </c>
      <c r="J401" s="23">
        <v>0.22772147587312</v>
      </c>
      <c r="K401" s="22" t="s">
        <v>577</v>
      </c>
      <c r="L401" s="5" t="s">
        <v>480</v>
      </c>
      <c r="M401" s="5" t="s">
        <v>482</v>
      </c>
      <c r="N401" s="5" t="s">
        <v>481</v>
      </c>
      <c r="O401" s="5" t="s">
        <v>483</v>
      </c>
      <c r="P401" s="5">
        <v>0</v>
      </c>
      <c r="Q401" s="5">
        <v>23</v>
      </c>
      <c r="R401" s="5">
        <v>0</v>
      </c>
      <c r="S401" s="5" t="s">
        <v>21</v>
      </c>
      <c r="T401" s="5">
        <v>23</v>
      </c>
      <c r="U401" s="24"/>
      <c r="V401" s="5" t="s">
        <v>694</v>
      </c>
    </row>
    <row r="402" spans="1:22" ht="28.8" x14ac:dyDescent="0.3">
      <c r="A402" s="5">
        <v>401</v>
      </c>
      <c r="B402" s="5" t="s">
        <v>78</v>
      </c>
      <c r="C402" s="5">
        <v>95110</v>
      </c>
      <c r="D402" s="5" t="str">
        <f>"259-30-105"</f>
        <v>259-30-105</v>
      </c>
      <c r="E402" s="5" t="s">
        <v>571</v>
      </c>
      <c r="F402" s="5" t="s">
        <v>20</v>
      </c>
      <c r="G402" s="22" t="s">
        <v>584</v>
      </c>
      <c r="H402" s="22">
        <v>0</v>
      </c>
      <c r="I402" s="5">
        <v>800</v>
      </c>
      <c r="J402" s="23">
        <v>6.1083973532882203E-2</v>
      </c>
      <c r="K402" s="22" t="s">
        <v>581</v>
      </c>
      <c r="L402" s="5" t="s">
        <v>480</v>
      </c>
      <c r="M402" s="5" t="s">
        <v>482</v>
      </c>
      <c r="N402" s="5" t="s">
        <v>481</v>
      </c>
      <c r="O402" s="5" t="s">
        <v>483</v>
      </c>
      <c r="P402" s="5">
        <v>0</v>
      </c>
      <c r="Q402" s="5">
        <v>8</v>
      </c>
      <c r="R402" s="5">
        <v>0</v>
      </c>
      <c r="S402" s="5" t="s">
        <v>21</v>
      </c>
      <c r="T402" s="5">
        <v>8</v>
      </c>
      <c r="U402" s="24" t="s">
        <v>607</v>
      </c>
      <c r="V402" s="5" t="s">
        <v>820</v>
      </c>
    </row>
    <row r="403" spans="1:22" x14ac:dyDescent="0.3">
      <c r="A403" s="5">
        <v>402</v>
      </c>
      <c r="B403" s="5" t="s">
        <v>339</v>
      </c>
      <c r="C403" s="5">
        <v>95110</v>
      </c>
      <c r="D403" s="5" t="str">
        <f>"264-26-094"</f>
        <v>264-26-094</v>
      </c>
      <c r="E403" s="5" t="s">
        <v>548</v>
      </c>
      <c r="F403" s="5" t="s">
        <v>20</v>
      </c>
      <c r="G403" s="22" t="s">
        <v>584</v>
      </c>
      <c r="H403" s="22">
        <v>0</v>
      </c>
      <c r="I403" s="5">
        <v>800</v>
      </c>
      <c r="J403" s="23">
        <v>0.24490367670358501</v>
      </c>
      <c r="K403" s="22" t="s">
        <v>580</v>
      </c>
      <c r="L403" s="5" t="s">
        <v>480</v>
      </c>
      <c r="M403" s="5" t="s">
        <v>482</v>
      </c>
      <c r="N403" s="5" t="s">
        <v>481</v>
      </c>
      <c r="O403" s="5" t="s">
        <v>483</v>
      </c>
      <c r="P403" s="5">
        <v>0</v>
      </c>
      <c r="Q403" s="5">
        <v>46</v>
      </c>
      <c r="R403" s="5">
        <v>0</v>
      </c>
      <c r="S403" s="5" t="s">
        <v>21</v>
      </c>
      <c r="T403" s="5">
        <v>46</v>
      </c>
      <c r="U403" s="24"/>
      <c r="V403" s="5" t="s">
        <v>605</v>
      </c>
    </row>
    <row r="404" spans="1:22" x14ac:dyDescent="0.3">
      <c r="A404" s="5">
        <v>403</v>
      </c>
      <c r="B404" s="5" t="s">
        <v>380</v>
      </c>
      <c r="C404" s="5">
        <v>95112</v>
      </c>
      <c r="D404" s="5" t="str">
        <f>"472-26-046"</f>
        <v>472-26-046</v>
      </c>
      <c r="E404" s="5"/>
      <c r="F404" s="5" t="s">
        <v>20</v>
      </c>
      <c r="G404" s="22" t="s">
        <v>584</v>
      </c>
      <c r="H404" s="22">
        <v>0</v>
      </c>
      <c r="I404" s="5">
        <v>800</v>
      </c>
      <c r="J404" s="23">
        <v>0.37651335626680998</v>
      </c>
      <c r="K404" s="22" t="s">
        <v>576</v>
      </c>
      <c r="L404" s="5" t="s">
        <v>480</v>
      </c>
      <c r="M404" s="5" t="s">
        <v>482</v>
      </c>
      <c r="N404" s="5" t="s">
        <v>481</v>
      </c>
      <c r="O404" s="5" t="s">
        <v>483</v>
      </c>
      <c r="P404" s="5">
        <v>0</v>
      </c>
      <c r="Q404" s="5">
        <v>60</v>
      </c>
      <c r="R404" s="5">
        <v>0</v>
      </c>
      <c r="S404" s="5" t="s">
        <v>21</v>
      </c>
      <c r="T404" s="5">
        <v>60</v>
      </c>
      <c r="U404" s="24"/>
      <c r="V404" s="5" t="s">
        <v>784</v>
      </c>
    </row>
    <row r="405" spans="1:22" x14ac:dyDescent="0.3">
      <c r="A405" s="5">
        <v>404</v>
      </c>
      <c r="B405" s="5" t="s">
        <v>216</v>
      </c>
      <c r="C405" s="5">
        <v>95116</v>
      </c>
      <c r="D405" s="5" t="str">
        <f>"467-07-055"</f>
        <v>467-07-055</v>
      </c>
      <c r="E405" s="5"/>
      <c r="F405" s="5" t="s">
        <v>9</v>
      </c>
      <c r="G405" s="22" t="s">
        <v>18</v>
      </c>
      <c r="H405" s="22">
        <v>0</v>
      </c>
      <c r="I405" s="5">
        <v>250</v>
      </c>
      <c r="J405" s="23">
        <v>0.63871625364087403</v>
      </c>
      <c r="K405" s="22" t="s">
        <v>576</v>
      </c>
      <c r="L405" s="5" t="s">
        <v>480</v>
      </c>
      <c r="M405" s="5" t="s">
        <v>482</v>
      </c>
      <c r="N405" s="5" t="s">
        <v>481</v>
      </c>
      <c r="O405" s="5" t="s">
        <v>483</v>
      </c>
      <c r="P405" s="5">
        <v>0</v>
      </c>
      <c r="Q405" s="5">
        <v>47</v>
      </c>
      <c r="R405" s="5">
        <v>0</v>
      </c>
      <c r="S405" s="5" t="s">
        <v>21</v>
      </c>
      <c r="T405" s="5">
        <v>47</v>
      </c>
      <c r="U405" s="24"/>
      <c r="V405" s="5" t="s">
        <v>723</v>
      </c>
    </row>
    <row r="406" spans="1:22" x14ac:dyDescent="0.3">
      <c r="A406" s="5">
        <v>405</v>
      </c>
      <c r="B406" s="5" t="s">
        <v>265</v>
      </c>
      <c r="C406" s="5">
        <v>95110</v>
      </c>
      <c r="D406" s="5" t="str">
        <f>"259-47-015"</f>
        <v>259-47-015</v>
      </c>
      <c r="E406" s="5"/>
      <c r="F406" s="5" t="s">
        <v>20</v>
      </c>
      <c r="G406" s="22" t="s">
        <v>584</v>
      </c>
      <c r="H406" s="22">
        <v>0</v>
      </c>
      <c r="I406" s="5">
        <v>800</v>
      </c>
      <c r="J406" s="23">
        <v>0.12804365530884401</v>
      </c>
      <c r="K406" s="22" t="s">
        <v>576</v>
      </c>
      <c r="L406" s="5" t="s">
        <v>480</v>
      </c>
      <c r="M406" s="5" t="s">
        <v>482</v>
      </c>
      <c r="N406" s="5" t="s">
        <v>481</v>
      </c>
      <c r="O406" s="5" t="s">
        <v>483</v>
      </c>
      <c r="P406" s="5">
        <v>0</v>
      </c>
      <c r="Q406" s="5">
        <v>18</v>
      </c>
      <c r="R406" s="5">
        <v>0</v>
      </c>
      <c r="S406" s="5" t="s">
        <v>21</v>
      </c>
      <c r="T406" s="5">
        <v>18</v>
      </c>
      <c r="U406" s="24"/>
      <c r="V406" s="5" t="s">
        <v>744</v>
      </c>
    </row>
    <row r="407" spans="1:22" x14ac:dyDescent="0.3">
      <c r="A407" s="5">
        <v>406</v>
      </c>
      <c r="B407" s="5" t="s">
        <v>411</v>
      </c>
      <c r="C407" s="5">
        <v>95111</v>
      </c>
      <c r="D407" s="5" t="str">
        <f>"497-08-023"</f>
        <v>497-08-023</v>
      </c>
      <c r="E407" s="5"/>
      <c r="F407" s="5" t="s">
        <v>5</v>
      </c>
      <c r="G407" s="22" t="s">
        <v>500</v>
      </c>
      <c r="H407" s="22">
        <v>0</v>
      </c>
      <c r="I407" s="5">
        <v>0</v>
      </c>
      <c r="J407" s="23">
        <v>0.61517997395463198</v>
      </c>
      <c r="K407" s="22" t="s">
        <v>576</v>
      </c>
      <c r="L407" s="5" t="s">
        <v>480</v>
      </c>
      <c r="M407" s="5" t="s">
        <v>482</v>
      </c>
      <c r="N407" s="5" t="s">
        <v>481</v>
      </c>
      <c r="O407" s="5" t="s">
        <v>483</v>
      </c>
      <c r="P407" s="5">
        <v>0</v>
      </c>
      <c r="Q407" s="5">
        <v>46</v>
      </c>
      <c r="R407" s="5">
        <v>0</v>
      </c>
      <c r="S407" s="5" t="s">
        <v>21</v>
      </c>
      <c r="T407" s="5">
        <v>46</v>
      </c>
      <c r="U407" s="24"/>
      <c r="V407" s="5" t="s">
        <v>605</v>
      </c>
    </row>
    <row r="408" spans="1:22" x14ac:dyDescent="0.3">
      <c r="A408" s="5">
        <v>407</v>
      </c>
      <c r="B408" s="5" t="s">
        <v>277</v>
      </c>
      <c r="C408" s="5">
        <v>95110</v>
      </c>
      <c r="D408" s="5" t="str">
        <f>"259-47-041"</f>
        <v>259-47-041</v>
      </c>
      <c r="E408" s="5"/>
      <c r="F408" s="5" t="s">
        <v>20</v>
      </c>
      <c r="G408" s="22" t="s">
        <v>584</v>
      </c>
      <c r="H408" s="22">
        <v>0</v>
      </c>
      <c r="I408" s="5">
        <v>800</v>
      </c>
      <c r="J408" s="23">
        <v>0.110216439000428</v>
      </c>
      <c r="K408" s="22" t="s">
        <v>582</v>
      </c>
      <c r="L408" s="5" t="s">
        <v>480</v>
      </c>
      <c r="M408" s="5" t="s">
        <v>482</v>
      </c>
      <c r="N408" s="5" t="s">
        <v>481</v>
      </c>
      <c r="O408" s="5" t="s">
        <v>483</v>
      </c>
      <c r="P408" s="5">
        <v>0</v>
      </c>
      <c r="Q408" s="5">
        <v>14</v>
      </c>
      <c r="R408" s="5">
        <v>0</v>
      </c>
      <c r="S408" s="5" t="s">
        <v>21</v>
      </c>
      <c r="T408" s="5">
        <v>14</v>
      </c>
      <c r="U408" s="24"/>
      <c r="V408" s="5" t="s">
        <v>746</v>
      </c>
    </row>
    <row r="409" spans="1:22" x14ac:dyDescent="0.3">
      <c r="A409" s="5">
        <v>408</v>
      </c>
      <c r="B409" s="5" t="s">
        <v>144</v>
      </c>
      <c r="C409" s="5">
        <v>95128</v>
      </c>
      <c r="D409" s="5" t="str">
        <f>"299-26-060"</f>
        <v>299-26-060</v>
      </c>
      <c r="E409" s="5"/>
      <c r="F409" s="5" t="s">
        <v>50</v>
      </c>
      <c r="G409" s="22" t="s">
        <v>96</v>
      </c>
      <c r="H409" s="22">
        <v>45</v>
      </c>
      <c r="I409" s="5">
        <v>95</v>
      </c>
      <c r="J409" s="23">
        <v>0.517198732095834</v>
      </c>
      <c r="K409" s="22" t="s">
        <v>576</v>
      </c>
      <c r="L409" s="5" t="s">
        <v>480</v>
      </c>
      <c r="M409" s="5" t="s">
        <v>482</v>
      </c>
      <c r="N409" s="5" t="s">
        <v>481</v>
      </c>
      <c r="O409" s="5" t="s">
        <v>483</v>
      </c>
      <c r="P409" s="5">
        <v>0</v>
      </c>
      <c r="Q409" s="5">
        <v>25</v>
      </c>
      <c r="R409" s="5">
        <v>0</v>
      </c>
      <c r="S409" s="5" t="s">
        <v>21</v>
      </c>
      <c r="T409" s="5">
        <v>25</v>
      </c>
      <c r="U409" s="24"/>
      <c r="V409" s="5" t="s">
        <v>681</v>
      </c>
    </row>
    <row r="410" spans="1:22" x14ac:dyDescent="0.3">
      <c r="A410" s="5">
        <v>409</v>
      </c>
      <c r="B410" s="5" t="s">
        <v>440</v>
      </c>
      <c r="C410" s="5">
        <v>95111</v>
      </c>
      <c r="D410" s="5" t="str">
        <f>"497-27-110"</f>
        <v>497-27-110</v>
      </c>
      <c r="E410" s="5"/>
      <c r="F410" s="5" t="s">
        <v>29</v>
      </c>
      <c r="G410" s="22" t="s">
        <v>37</v>
      </c>
      <c r="H410" s="22">
        <v>0</v>
      </c>
      <c r="I410" s="5">
        <v>50</v>
      </c>
      <c r="J410" s="23">
        <v>0.52394102851394797</v>
      </c>
      <c r="K410" s="22" t="s">
        <v>576</v>
      </c>
      <c r="L410" s="5" t="s">
        <v>480</v>
      </c>
      <c r="M410" s="5" t="s">
        <v>482</v>
      </c>
      <c r="N410" s="5" t="s">
        <v>481</v>
      </c>
      <c r="O410" s="5" t="s">
        <v>483</v>
      </c>
      <c r="P410" s="5">
        <v>0</v>
      </c>
      <c r="Q410" s="5">
        <v>15</v>
      </c>
      <c r="R410" s="5">
        <v>0</v>
      </c>
      <c r="S410" s="5" t="s">
        <v>21</v>
      </c>
      <c r="T410" s="5">
        <v>15</v>
      </c>
      <c r="U410" s="24"/>
      <c r="V410" s="5" t="s">
        <v>833</v>
      </c>
    </row>
    <row r="411" spans="1:22" x14ac:dyDescent="0.3">
      <c r="A411" s="5">
        <v>410</v>
      </c>
      <c r="B411" s="5" t="s">
        <v>286</v>
      </c>
      <c r="C411" s="5">
        <v>95126</v>
      </c>
      <c r="D411" s="5" t="str">
        <f>"261-01-089"</f>
        <v>261-01-089</v>
      </c>
      <c r="E411" s="5"/>
      <c r="F411" s="5" t="s">
        <v>222</v>
      </c>
      <c r="G411" s="22" t="s">
        <v>223</v>
      </c>
      <c r="H411" s="22">
        <v>65</v>
      </c>
      <c r="I411" s="5">
        <v>450</v>
      </c>
      <c r="J411" s="23">
        <v>0.19325794750316599</v>
      </c>
      <c r="K411" s="22" t="s">
        <v>576</v>
      </c>
      <c r="L411" s="5" t="s">
        <v>480</v>
      </c>
      <c r="M411" s="5" t="s">
        <v>482</v>
      </c>
      <c r="N411" s="5" t="s">
        <v>481</v>
      </c>
      <c r="O411" s="5" t="s">
        <v>483</v>
      </c>
      <c r="P411" s="25">
        <v>0</v>
      </c>
      <c r="Q411" s="5">
        <v>23</v>
      </c>
      <c r="R411" s="5">
        <v>0</v>
      </c>
      <c r="S411" s="5" t="s">
        <v>21</v>
      </c>
      <c r="T411" s="5">
        <v>23</v>
      </c>
      <c r="U411" s="24"/>
      <c r="V411" s="5" t="s">
        <v>746</v>
      </c>
    </row>
    <row r="412" spans="1:22" x14ac:dyDescent="0.3">
      <c r="A412" s="5">
        <v>411</v>
      </c>
      <c r="B412" s="5" t="s">
        <v>229</v>
      </c>
      <c r="C412" s="5">
        <v>95112</v>
      </c>
      <c r="D412" s="5" t="str">
        <f>"249-12-001"</f>
        <v>249-12-001</v>
      </c>
      <c r="E412" s="5"/>
      <c r="F412" s="5" t="s">
        <v>29</v>
      </c>
      <c r="G412" s="22" t="s">
        <v>37</v>
      </c>
      <c r="H412" s="22">
        <v>0</v>
      </c>
      <c r="I412" s="5">
        <v>50</v>
      </c>
      <c r="J412" s="23">
        <v>0.242909442395873</v>
      </c>
      <c r="K412" s="22" t="s">
        <v>576</v>
      </c>
      <c r="L412" s="5" t="s">
        <v>480</v>
      </c>
      <c r="M412" s="5" t="s">
        <v>482</v>
      </c>
      <c r="N412" s="5" t="s">
        <v>481</v>
      </c>
      <c r="O412" s="5" t="s">
        <v>483</v>
      </c>
      <c r="P412" s="5">
        <v>0</v>
      </c>
      <c r="Q412" s="5">
        <v>6</v>
      </c>
      <c r="R412" s="5">
        <v>0</v>
      </c>
      <c r="S412" s="5" t="s">
        <v>21</v>
      </c>
      <c r="T412" s="5">
        <v>6</v>
      </c>
      <c r="U412" s="29"/>
      <c r="V412" s="5" t="s">
        <v>829</v>
      </c>
    </row>
    <row r="413" spans="1:22" x14ac:dyDescent="0.3">
      <c r="A413" s="5">
        <v>412</v>
      </c>
      <c r="B413" s="5" t="s">
        <v>260</v>
      </c>
      <c r="C413" s="5">
        <v>95110</v>
      </c>
      <c r="D413" s="5" t="str">
        <f>"259-46-058"</f>
        <v>259-46-058</v>
      </c>
      <c r="E413" s="5" t="s">
        <v>532</v>
      </c>
      <c r="F413" s="5" t="s">
        <v>20</v>
      </c>
      <c r="G413" s="22" t="s">
        <v>584</v>
      </c>
      <c r="H413" s="22">
        <v>0</v>
      </c>
      <c r="I413" s="5">
        <v>800</v>
      </c>
      <c r="J413" s="23">
        <v>0.19057819968502401</v>
      </c>
      <c r="K413" s="22" t="s">
        <v>577</v>
      </c>
      <c r="L413" s="5" t="s">
        <v>480</v>
      </c>
      <c r="M413" s="5" t="s">
        <v>482</v>
      </c>
      <c r="N413" s="5" t="s">
        <v>481</v>
      </c>
      <c r="O413" s="5" t="s">
        <v>483</v>
      </c>
      <c r="P413" s="5">
        <v>0</v>
      </c>
      <c r="Q413" s="5">
        <v>22</v>
      </c>
      <c r="R413" s="5">
        <v>0</v>
      </c>
      <c r="S413" s="5" t="s">
        <v>21</v>
      </c>
      <c r="T413" s="5">
        <v>22</v>
      </c>
      <c r="U413" s="24"/>
      <c r="V413" s="5" t="s">
        <v>614</v>
      </c>
    </row>
    <row r="414" spans="1:22" x14ac:dyDescent="0.3">
      <c r="A414" s="5">
        <v>413</v>
      </c>
      <c r="B414" s="5" t="s">
        <v>67</v>
      </c>
      <c r="C414" s="5">
        <v>95132</v>
      </c>
      <c r="D414" s="5" t="str">
        <f>"589-01-040"</f>
        <v>589-01-040</v>
      </c>
      <c r="E414" s="5"/>
      <c r="F414" s="5" t="s">
        <v>29</v>
      </c>
      <c r="G414" s="22" t="s">
        <v>508</v>
      </c>
      <c r="H414" s="22">
        <v>0</v>
      </c>
      <c r="I414" s="5">
        <v>50</v>
      </c>
      <c r="J414" s="23">
        <v>0.62291732690923896</v>
      </c>
      <c r="K414" s="22" t="s">
        <v>576</v>
      </c>
      <c r="L414" s="5" t="s">
        <v>480</v>
      </c>
      <c r="M414" s="5" t="s">
        <v>482</v>
      </c>
      <c r="N414" s="5" t="s">
        <v>481</v>
      </c>
      <c r="O414" s="5" t="s">
        <v>483</v>
      </c>
      <c r="P414" s="5">
        <v>0</v>
      </c>
      <c r="Q414" s="5">
        <v>16</v>
      </c>
      <c r="R414" s="5">
        <v>0</v>
      </c>
      <c r="S414" s="5" t="s">
        <v>21</v>
      </c>
      <c r="T414" s="5">
        <v>16</v>
      </c>
      <c r="U414" s="24"/>
      <c r="V414" s="5" t="s">
        <v>834</v>
      </c>
    </row>
    <row r="415" spans="1:22" x14ac:dyDescent="0.3">
      <c r="A415" s="5">
        <v>414</v>
      </c>
      <c r="B415" s="5" t="s">
        <v>368</v>
      </c>
      <c r="C415" s="5">
        <v>95116</v>
      </c>
      <c r="D415" s="5" t="str">
        <f>"467-30-001"</f>
        <v>467-30-001</v>
      </c>
      <c r="E415" s="5" t="s">
        <v>487</v>
      </c>
      <c r="F415" s="5" t="s">
        <v>9</v>
      </c>
      <c r="G415" s="22" t="s">
        <v>18</v>
      </c>
      <c r="H415" s="22">
        <v>0</v>
      </c>
      <c r="I415" s="5">
        <v>0</v>
      </c>
      <c r="J415" s="23">
        <v>0.68756660150313698</v>
      </c>
      <c r="K415" s="22" t="s">
        <v>577</v>
      </c>
      <c r="L415" s="5" t="s">
        <v>480</v>
      </c>
      <c r="M415" s="5" t="s">
        <v>482</v>
      </c>
      <c r="N415" s="5" t="s">
        <v>481</v>
      </c>
      <c r="O415" s="5" t="s">
        <v>483</v>
      </c>
      <c r="P415" s="5">
        <v>0</v>
      </c>
      <c r="Q415" s="5">
        <v>12</v>
      </c>
      <c r="R415" s="5">
        <v>0</v>
      </c>
      <c r="S415" s="5" t="s">
        <v>21</v>
      </c>
      <c r="T415" s="5">
        <v>12</v>
      </c>
      <c r="U415" s="24"/>
      <c r="V415" s="5" t="s">
        <v>614</v>
      </c>
    </row>
    <row r="416" spans="1:22" x14ac:dyDescent="0.3">
      <c r="A416" s="5">
        <v>415</v>
      </c>
      <c r="B416" s="5" t="s">
        <v>288</v>
      </c>
      <c r="C416" s="5">
        <v>95126</v>
      </c>
      <c r="D416" s="5" t="str">
        <f>"261-01-038"</f>
        <v>261-01-038</v>
      </c>
      <c r="E416" s="5"/>
      <c r="F416" s="5" t="s">
        <v>222</v>
      </c>
      <c r="G416" s="22" t="s">
        <v>223</v>
      </c>
      <c r="H416" s="22">
        <v>65</v>
      </c>
      <c r="I416" s="5">
        <v>450</v>
      </c>
      <c r="J416" s="23">
        <v>0.233386854992504</v>
      </c>
      <c r="K416" s="22" t="s">
        <v>581</v>
      </c>
      <c r="L416" s="5" t="s">
        <v>480</v>
      </c>
      <c r="M416" s="5" t="s">
        <v>482</v>
      </c>
      <c r="N416" s="5" t="s">
        <v>481</v>
      </c>
      <c r="O416" s="5" t="s">
        <v>483</v>
      </c>
      <c r="P416" s="25">
        <v>0</v>
      </c>
      <c r="Q416" s="5">
        <v>28</v>
      </c>
      <c r="R416" s="5">
        <v>0</v>
      </c>
      <c r="S416" s="5" t="s">
        <v>21</v>
      </c>
      <c r="T416" s="5">
        <v>28</v>
      </c>
      <c r="U416" s="24"/>
      <c r="V416" s="5" t="s">
        <v>750</v>
      </c>
    </row>
    <row r="417" spans="1:22" x14ac:dyDescent="0.3">
      <c r="A417" s="5">
        <v>416</v>
      </c>
      <c r="B417" s="5" t="s">
        <v>205</v>
      </c>
      <c r="C417" s="5">
        <v>95118</v>
      </c>
      <c r="D417" s="5" t="str">
        <f>"569-25-048"</f>
        <v>569-25-048</v>
      </c>
      <c r="E417" s="5"/>
      <c r="F417" s="5" t="s">
        <v>33</v>
      </c>
      <c r="G417" s="5" t="s">
        <v>932</v>
      </c>
      <c r="H417" s="22">
        <v>0</v>
      </c>
      <c r="I417" s="5">
        <v>30</v>
      </c>
      <c r="J417" s="23">
        <v>1.22305171885424</v>
      </c>
      <c r="K417" s="22" t="s">
        <v>581</v>
      </c>
      <c r="L417" s="5" t="s">
        <v>480</v>
      </c>
      <c r="M417" s="5" t="s">
        <v>482</v>
      </c>
      <c r="N417" s="5" t="s">
        <v>481</v>
      </c>
      <c r="O417" s="5" t="s">
        <v>483</v>
      </c>
      <c r="P417" s="5">
        <v>0</v>
      </c>
      <c r="Q417" s="5">
        <v>14</v>
      </c>
      <c r="R417" s="5">
        <v>0</v>
      </c>
      <c r="S417" s="5" t="s">
        <v>21</v>
      </c>
      <c r="T417" s="5">
        <v>14</v>
      </c>
      <c r="U417" s="24"/>
      <c r="V417" s="5" t="s">
        <v>596</v>
      </c>
    </row>
    <row r="418" spans="1:22" x14ac:dyDescent="0.3">
      <c r="A418" s="5">
        <v>417</v>
      </c>
      <c r="B418" s="5" t="s">
        <v>314</v>
      </c>
      <c r="C418" s="5">
        <v>95125</v>
      </c>
      <c r="D418" s="5" t="str">
        <f>"456-03-011"</f>
        <v>456-03-011</v>
      </c>
      <c r="E418" s="5"/>
      <c r="F418" s="5" t="s">
        <v>50</v>
      </c>
      <c r="G418" s="22" t="s">
        <v>583</v>
      </c>
      <c r="H418" s="22">
        <v>30</v>
      </c>
      <c r="I418" s="5">
        <v>95</v>
      </c>
      <c r="J418" s="23">
        <v>0.51216248723868796</v>
      </c>
      <c r="K418" s="22" t="s">
        <v>580</v>
      </c>
      <c r="L418" s="5" t="s">
        <v>480</v>
      </c>
      <c r="M418" s="5" t="s">
        <v>482</v>
      </c>
      <c r="N418" s="5" t="s">
        <v>481</v>
      </c>
      <c r="O418" s="5" t="s">
        <v>483</v>
      </c>
      <c r="P418" s="5">
        <v>0</v>
      </c>
      <c r="Q418" s="5">
        <v>23</v>
      </c>
      <c r="R418" s="5">
        <v>0</v>
      </c>
      <c r="S418" s="5" t="s">
        <v>21</v>
      </c>
      <c r="T418" s="5">
        <v>23</v>
      </c>
      <c r="U418" s="24"/>
      <c r="V418" s="5" t="s">
        <v>839</v>
      </c>
    </row>
    <row r="419" spans="1:22" x14ac:dyDescent="0.3">
      <c r="A419" s="5">
        <v>418</v>
      </c>
      <c r="B419" s="5" t="s">
        <v>43</v>
      </c>
      <c r="C419" s="5">
        <v>95110</v>
      </c>
      <c r="D419" s="5" t="str">
        <f>"259-32-087"</f>
        <v>259-32-087</v>
      </c>
      <c r="E419" s="5"/>
      <c r="F419" s="5" t="s">
        <v>20</v>
      </c>
      <c r="G419" s="22" t="s">
        <v>584</v>
      </c>
      <c r="H419" s="22">
        <v>0</v>
      </c>
      <c r="I419" s="5">
        <v>800</v>
      </c>
      <c r="J419" s="23">
        <v>0.30541710911488301</v>
      </c>
      <c r="K419" s="22" t="s">
        <v>577</v>
      </c>
      <c r="L419" s="5" t="s">
        <v>480</v>
      </c>
      <c r="M419" s="5" t="s">
        <v>482</v>
      </c>
      <c r="N419" s="5" t="s">
        <v>481</v>
      </c>
      <c r="O419" s="5" t="s">
        <v>483</v>
      </c>
      <c r="P419" s="5">
        <v>0</v>
      </c>
      <c r="Q419" s="5">
        <v>31</v>
      </c>
      <c r="R419" s="5">
        <v>0</v>
      </c>
      <c r="S419" s="5" t="s">
        <v>21</v>
      </c>
      <c r="T419" s="5">
        <v>31</v>
      </c>
      <c r="U419" s="24"/>
      <c r="V419" s="5" t="s">
        <v>616</v>
      </c>
    </row>
    <row r="420" spans="1:22" x14ac:dyDescent="0.3">
      <c r="A420" s="5">
        <v>419</v>
      </c>
      <c r="B420" s="5" t="s">
        <v>35</v>
      </c>
      <c r="C420" s="5">
        <v>95116</v>
      </c>
      <c r="D420" s="5" t="str">
        <f>"481-19-143"</f>
        <v>481-19-143</v>
      </c>
      <c r="E420" s="5"/>
      <c r="F420" s="5" t="s">
        <v>9</v>
      </c>
      <c r="G420" s="22" t="s">
        <v>585</v>
      </c>
      <c r="H420" s="22">
        <v>0</v>
      </c>
      <c r="I420" s="5">
        <v>250</v>
      </c>
      <c r="J420" s="23">
        <v>0.55157946934601898</v>
      </c>
      <c r="K420" s="22" t="s">
        <v>576</v>
      </c>
      <c r="L420" s="5" t="s">
        <v>480</v>
      </c>
      <c r="M420" s="5" t="s">
        <v>482</v>
      </c>
      <c r="N420" s="5" t="s">
        <v>481</v>
      </c>
      <c r="O420" s="5" t="s">
        <v>483</v>
      </c>
      <c r="P420" s="5">
        <v>0</v>
      </c>
      <c r="Q420" s="5">
        <v>31</v>
      </c>
      <c r="R420" s="5">
        <v>0</v>
      </c>
      <c r="S420" s="5" t="s">
        <v>21</v>
      </c>
      <c r="T420" s="5">
        <v>31</v>
      </c>
      <c r="U420" s="24"/>
      <c r="V420" s="5" t="s">
        <v>611</v>
      </c>
    </row>
    <row r="421" spans="1:22" x14ac:dyDescent="0.3">
      <c r="A421" s="5">
        <v>420</v>
      </c>
      <c r="B421" s="5" t="s">
        <v>254</v>
      </c>
      <c r="C421" s="5">
        <v>95110</v>
      </c>
      <c r="D421" s="5" t="str">
        <f>"259-46-095"</f>
        <v>259-46-095</v>
      </c>
      <c r="E421" s="5" t="s">
        <v>531</v>
      </c>
      <c r="F421" s="5" t="s">
        <v>20</v>
      </c>
      <c r="G421" s="22" t="s">
        <v>584</v>
      </c>
      <c r="H421" s="22">
        <v>0</v>
      </c>
      <c r="I421" s="5">
        <v>800</v>
      </c>
      <c r="J421" s="23">
        <v>0.15337475690541699</v>
      </c>
      <c r="K421" s="22" t="s">
        <v>576</v>
      </c>
      <c r="L421" s="5" t="s">
        <v>480</v>
      </c>
      <c r="M421" s="5" t="s">
        <v>482</v>
      </c>
      <c r="N421" s="5" t="s">
        <v>481</v>
      </c>
      <c r="O421" s="5" t="s">
        <v>483</v>
      </c>
      <c r="P421" s="5">
        <v>0</v>
      </c>
      <c r="Q421" s="5">
        <v>19</v>
      </c>
      <c r="R421" s="5">
        <v>0</v>
      </c>
      <c r="S421" s="5" t="s">
        <v>21</v>
      </c>
      <c r="T421" s="5">
        <v>19</v>
      </c>
      <c r="U421" s="24"/>
      <c r="V421" s="5" t="s">
        <v>740</v>
      </c>
    </row>
    <row r="422" spans="1:22" x14ac:dyDescent="0.3">
      <c r="A422" s="5">
        <v>421</v>
      </c>
      <c r="B422" s="5" t="s">
        <v>334</v>
      </c>
      <c r="C422" s="5">
        <v>95110</v>
      </c>
      <c r="D422" s="5" t="str">
        <f>"264-26-031"</f>
        <v>264-26-031</v>
      </c>
      <c r="E422" s="5" t="s">
        <v>548</v>
      </c>
      <c r="F422" s="5" t="s">
        <v>20</v>
      </c>
      <c r="G422" s="22" t="s">
        <v>584</v>
      </c>
      <c r="H422" s="22">
        <v>0</v>
      </c>
      <c r="I422" s="5">
        <v>800</v>
      </c>
      <c r="J422" s="23">
        <v>8.5195715282193593E-2</v>
      </c>
      <c r="K422" s="22" t="s">
        <v>580</v>
      </c>
      <c r="L422" s="5" t="s">
        <v>480</v>
      </c>
      <c r="M422" s="5" t="s">
        <v>482</v>
      </c>
      <c r="N422" s="5" t="s">
        <v>481</v>
      </c>
      <c r="O422" s="5" t="s">
        <v>483</v>
      </c>
      <c r="P422" s="5">
        <v>0</v>
      </c>
      <c r="Q422" s="5">
        <v>11</v>
      </c>
      <c r="R422" s="5">
        <v>0</v>
      </c>
      <c r="S422" s="5" t="s">
        <v>21</v>
      </c>
      <c r="T422" s="5">
        <v>11</v>
      </c>
      <c r="U422" s="24"/>
      <c r="V422" s="5" t="s">
        <v>741</v>
      </c>
    </row>
    <row r="423" spans="1:22" x14ac:dyDescent="0.3">
      <c r="A423" s="5">
        <v>422</v>
      </c>
      <c r="B423" s="5" t="s">
        <v>374</v>
      </c>
      <c r="C423" s="5">
        <v>95112</v>
      </c>
      <c r="D423" s="5" t="str">
        <f>"467-46-012"</f>
        <v>467-46-012</v>
      </c>
      <c r="E423" s="5" t="s">
        <v>557</v>
      </c>
      <c r="F423" s="5" t="s">
        <v>20</v>
      </c>
      <c r="G423" s="22" t="s">
        <v>584</v>
      </c>
      <c r="H423" s="22">
        <v>0</v>
      </c>
      <c r="I423" s="5">
        <v>800</v>
      </c>
      <c r="J423" s="23">
        <v>0.123103828618153</v>
      </c>
      <c r="K423" s="22" t="s">
        <v>577</v>
      </c>
      <c r="L423" s="5" t="s">
        <v>480</v>
      </c>
      <c r="M423" s="5" t="s">
        <v>482</v>
      </c>
      <c r="N423" s="5" t="s">
        <v>481</v>
      </c>
      <c r="O423" s="5" t="s">
        <v>483</v>
      </c>
      <c r="P423" s="5">
        <v>0</v>
      </c>
      <c r="Q423" s="5">
        <v>14</v>
      </c>
      <c r="R423" s="5">
        <v>0</v>
      </c>
      <c r="S423" s="5" t="s">
        <v>21</v>
      </c>
      <c r="T423" s="5">
        <v>14</v>
      </c>
      <c r="U423" s="24"/>
      <c r="V423" s="5" t="s">
        <v>785</v>
      </c>
    </row>
    <row r="424" spans="1:22" x14ac:dyDescent="0.3">
      <c r="A424" s="5">
        <v>423</v>
      </c>
      <c r="B424" s="5" t="s">
        <v>396</v>
      </c>
      <c r="C424" s="5">
        <v>95116</v>
      </c>
      <c r="D424" s="5" t="str">
        <f>"481-22-055"</f>
        <v>481-22-055</v>
      </c>
      <c r="E424" s="5"/>
      <c r="F424" s="5" t="s">
        <v>9</v>
      </c>
      <c r="G424" s="22" t="s">
        <v>585</v>
      </c>
      <c r="H424" s="22">
        <v>0</v>
      </c>
      <c r="I424" s="5">
        <v>250</v>
      </c>
      <c r="J424" s="23">
        <v>0.61154088028777598</v>
      </c>
      <c r="K424" s="22" t="s">
        <v>576</v>
      </c>
      <c r="L424" s="5" t="s">
        <v>480</v>
      </c>
      <c r="M424" s="5" t="s">
        <v>482</v>
      </c>
      <c r="N424" s="5" t="s">
        <v>481</v>
      </c>
      <c r="O424" s="5" t="s">
        <v>483</v>
      </c>
      <c r="P424" s="5">
        <v>0</v>
      </c>
      <c r="Q424" s="5">
        <v>30</v>
      </c>
      <c r="R424" s="5">
        <v>0</v>
      </c>
      <c r="S424" s="5" t="s">
        <v>21</v>
      </c>
      <c r="T424" s="5">
        <v>30</v>
      </c>
      <c r="U424" s="24"/>
      <c r="V424" s="5" t="s">
        <v>784</v>
      </c>
    </row>
    <row r="425" spans="1:22" x14ac:dyDescent="0.3">
      <c r="A425" s="5">
        <v>424</v>
      </c>
      <c r="B425" s="5" t="s">
        <v>64</v>
      </c>
      <c r="C425" s="5">
        <v>95148</v>
      </c>
      <c r="D425" s="5" t="str">
        <f>"647-24-042"</f>
        <v>647-24-042</v>
      </c>
      <c r="E425" s="5"/>
      <c r="F425" s="5" t="s">
        <v>54</v>
      </c>
      <c r="G425" s="22" t="s">
        <v>589</v>
      </c>
      <c r="H425" s="22">
        <v>0</v>
      </c>
      <c r="I425" s="5">
        <v>8</v>
      </c>
      <c r="J425" s="23">
        <v>0.48078132728795903</v>
      </c>
      <c r="K425" s="22" t="s">
        <v>581</v>
      </c>
      <c r="L425" s="5" t="s">
        <v>480</v>
      </c>
      <c r="M425" s="5" t="s">
        <v>845</v>
      </c>
      <c r="N425" s="5" t="s">
        <v>481</v>
      </c>
      <c r="O425" s="5" t="s">
        <v>483</v>
      </c>
      <c r="P425" s="5">
        <v>0</v>
      </c>
      <c r="Q425" s="5">
        <v>4</v>
      </c>
      <c r="R425" s="5">
        <v>0</v>
      </c>
      <c r="S425" s="5" t="s">
        <v>21</v>
      </c>
      <c r="T425" s="5">
        <v>4</v>
      </c>
      <c r="U425" s="24"/>
      <c r="V425" s="5" t="s">
        <v>625</v>
      </c>
    </row>
    <row r="426" spans="1:22" x14ac:dyDescent="0.3">
      <c r="A426" s="5">
        <v>425</v>
      </c>
      <c r="B426" s="5" t="s">
        <v>78</v>
      </c>
      <c r="C426" s="5">
        <v>95110</v>
      </c>
      <c r="D426" s="5" t="str">
        <f>"259-31-078"</f>
        <v>259-31-078</v>
      </c>
      <c r="E426" s="5" t="s">
        <v>573</v>
      </c>
      <c r="F426" s="5" t="s">
        <v>20</v>
      </c>
      <c r="G426" s="22" t="s">
        <v>584</v>
      </c>
      <c r="H426" s="22">
        <v>0</v>
      </c>
      <c r="I426" s="5">
        <v>800</v>
      </c>
      <c r="J426" s="23">
        <v>0.123573729829836</v>
      </c>
      <c r="K426" s="22" t="s">
        <v>577</v>
      </c>
      <c r="L426" s="5" t="s">
        <v>480</v>
      </c>
      <c r="M426" s="5" t="s">
        <v>482</v>
      </c>
      <c r="N426" s="5" t="s">
        <v>481</v>
      </c>
      <c r="O426" s="5" t="s">
        <v>483</v>
      </c>
      <c r="P426" s="5">
        <v>0</v>
      </c>
      <c r="Q426" s="5">
        <v>14</v>
      </c>
      <c r="R426" s="5">
        <v>0</v>
      </c>
      <c r="S426" s="5" t="s">
        <v>21</v>
      </c>
      <c r="T426" s="5">
        <v>14</v>
      </c>
      <c r="U426" s="24"/>
      <c r="V426" s="5" t="s">
        <v>600</v>
      </c>
    </row>
    <row r="427" spans="1:22" x14ac:dyDescent="0.3">
      <c r="A427" s="5">
        <v>426</v>
      </c>
      <c r="B427" s="5" t="s">
        <v>376</v>
      </c>
      <c r="C427" s="5">
        <v>95113</v>
      </c>
      <c r="D427" s="5" t="str">
        <f>"467-47-034"</f>
        <v>467-47-034</v>
      </c>
      <c r="E427" s="5"/>
      <c r="F427" s="5" t="s">
        <v>20</v>
      </c>
      <c r="G427" s="22" t="s">
        <v>584</v>
      </c>
      <c r="H427" s="22">
        <v>0</v>
      </c>
      <c r="I427" s="5">
        <v>800</v>
      </c>
      <c r="J427" s="23">
        <v>0.23556804841342299</v>
      </c>
      <c r="K427" s="22" t="s">
        <v>576</v>
      </c>
      <c r="L427" s="5" t="s">
        <v>480</v>
      </c>
      <c r="M427" s="5" t="s">
        <v>482</v>
      </c>
      <c r="N427" s="5" t="s">
        <v>481</v>
      </c>
      <c r="O427" s="5" t="s">
        <v>483</v>
      </c>
      <c r="P427" s="5">
        <v>0</v>
      </c>
      <c r="Q427" s="5">
        <v>30</v>
      </c>
      <c r="R427" s="5">
        <v>0</v>
      </c>
      <c r="S427" s="5" t="s">
        <v>21</v>
      </c>
      <c r="T427" s="5">
        <v>30</v>
      </c>
      <c r="U427" s="24"/>
      <c r="V427" s="5" t="s">
        <v>596</v>
      </c>
    </row>
    <row r="428" spans="1:22" x14ac:dyDescent="0.3">
      <c r="A428" s="5">
        <v>427</v>
      </c>
      <c r="B428" s="5" t="s">
        <v>78</v>
      </c>
      <c r="C428" s="5">
        <v>95110</v>
      </c>
      <c r="D428" s="5" t="str">
        <f>"259-30-106"</f>
        <v>259-30-106</v>
      </c>
      <c r="E428" s="5" t="s">
        <v>571</v>
      </c>
      <c r="F428" s="5" t="s">
        <v>20</v>
      </c>
      <c r="G428" s="22" t="s">
        <v>584</v>
      </c>
      <c r="H428" s="22">
        <v>0</v>
      </c>
      <c r="I428" s="5">
        <v>800</v>
      </c>
      <c r="J428" s="23">
        <v>6.2151806116197299E-2</v>
      </c>
      <c r="K428" s="22" t="s">
        <v>581</v>
      </c>
      <c r="L428" s="5" t="s">
        <v>480</v>
      </c>
      <c r="M428" s="5" t="s">
        <v>482</v>
      </c>
      <c r="N428" s="5" t="s">
        <v>481</v>
      </c>
      <c r="O428" s="5" t="s">
        <v>483</v>
      </c>
      <c r="P428" s="5">
        <v>0</v>
      </c>
      <c r="Q428" s="5">
        <v>9</v>
      </c>
      <c r="R428" s="5">
        <v>0</v>
      </c>
      <c r="S428" s="5" t="s">
        <v>21</v>
      </c>
      <c r="T428" s="5">
        <v>9</v>
      </c>
      <c r="U428" s="24"/>
      <c r="V428" s="5" t="s">
        <v>600</v>
      </c>
    </row>
    <row r="429" spans="1:22" x14ac:dyDescent="0.3">
      <c r="A429" s="5">
        <v>428</v>
      </c>
      <c r="B429" s="5" t="s">
        <v>316</v>
      </c>
      <c r="C429" s="5">
        <v>95126</v>
      </c>
      <c r="D429" s="5" t="str">
        <f>"264-03-043"</f>
        <v>264-03-043</v>
      </c>
      <c r="E429" s="5"/>
      <c r="F429" s="5" t="s">
        <v>33</v>
      </c>
      <c r="G429" s="22" t="s">
        <v>589</v>
      </c>
      <c r="H429" s="22">
        <v>0</v>
      </c>
      <c r="I429" s="5">
        <v>30</v>
      </c>
      <c r="J429" s="23">
        <v>0.87421346665341204</v>
      </c>
      <c r="K429" s="22" t="s">
        <v>581</v>
      </c>
      <c r="L429" s="5" t="s">
        <v>480</v>
      </c>
      <c r="M429" s="5" t="s">
        <v>482</v>
      </c>
      <c r="N429" s="5" t="s">
        <v>481</v>
      </c>
      <c r="O429" s="5" t="s">
        <v>483</v>
      </c>
      <c r="P429" s="5">
        <v>0</v>
      </c>
      <c r="Q429" s="5">
        <v>12</v>
      </c>
      <c r="R429" s="5">
        <v>0</v>
      </c>
      <c r="S429" s="5" t="s">
        <v>21</v>
      </c>
      <c r="T429" s="5">
        <v>12</v>
      </c>
      <c r="U429" s="24"/>
      <c r="V429" s="5" t="s">
        <v>596</v>
      </c>
    </row>
    <row r="430" spans="1:22" x14ac:dyDescent="0.3">
      <c r="A430" s="5">
        <v>429</v>
      </c>
      <c r="B430" s="5" t="s">
        <v>78</v>
      </c>
      <c r="C430" s="5">
        <v>95128</v>
      </c>
      <c r="D430" s="5" t="str">
        <f>"282-29-006"</f>
        <v>282-29-006</v>
      </c>
      <c r="E430" s="5" t="s">
        <v>504</v>
      </c>
      <c r="F430" s="5" t="s">
        <v>9</v>
      </c>
      <c r="G430" s="22" t="s">
        <v>18</v>
      </c>
      <c r="H430" s="22">
        <v>0</v>
      </c>
      <c r="I430" s="5">
        <v>150</v>
      </c>
      <c r="J430" s="23">
        <v>0.55103149868714296</v>
      </c>
      <c r="K430" s="22" t="s">
        <v>576</v>
      </c>
      <c r="L430" s="5" t="s">
        <v>480</v>
      </c>
      <c r="M430" s="5" t="s">
        <v>482</v>
      </c>
      <c r="N430" s="5" t="s">
        <v>481</v>
      </c>
      <c r="O430" s="5" t="s">
        <v>483</v>
      </c>
      <c r="P430" s="5">
        <v>0</v>
      </c>
      <c r="Q430" s="5">
        <v>37</v>
      </c>
      <c r="R430" s="5">
        <v>0</v>
      </c>
      <c r="S430" s="5" t="s">
        <v>21</v>
      </c>
      <c r="T430" s="5">
        <v>37</v>
      </c>
      <c r="U430" s="24"/>
      <c r="V430" s="5" t="s">
        <v>600</v>
      </c>
    </row>
    <row r="431" spans="1:22" x14ac:dyDescent="0.3">
      <c r="A431" s="5">
        <v>430</v>
      </c>
      <c r="B431" s="5" t="s">
        <v>19</v>
      </c>
      <c r="C431" s="5">
        <v>95112</v>
      </c>
      <c r="D431" s="5" t="str">
        <f>"472-26-086"</f>
        <v>472-26-086</v>
      </c>
      <c r="E431" s="5"/>
      <c r="F431" s="5" t="s">
        <v>20</v>
      </c>
      <c r="G431" s="22" t="s">
        <v>587</v>
      </c>
      <c r="H431" s="22">
        <v>0</v>
      </c>
      <c r="I431" s="5">
        <v>800</v>
      </c>
      <c r="J431" s="23">
        <v>0.18638508449633601</v>
      </c>
      <c r="K431" s="22" t="s">
        <v>576</v>
      </c>
      <c r="L431" s="5" t="s">
        <v>480</v>
      </c>
      <c r="M431" s="5" t="s">
        <v>482</v>
      </c>
      <c r="N431" s="5" t="s">
        <v>481</v>
      </c>
      <c r="O431" s="5" t="s">
        <v>483</v>
      </c>
      <c r="P431" s="5">
        <v>0</v>
      </c>
      <c r="Q431" s="5">
        <v>33</v>
      </c>
      <c r="R431" s="5">
        <v>0</v>
      </c>
      <c r="S431" s="5" t="s">
        <v>21</v>
      </c>
      <c r="T431" s="5">
        <v>33</v>
      </c>
      <c r="U431" s="24"/>
      <c r="V431" s="5" t="s">
        <v>603</v>
      </c>
    </row>
    <row r="432" spans="1:22" x14ac:dyDescent="0.3">
      <c r="A432" s="5">
        <v>431</v>
      </c>
      <c r="B432" s="5" t="s">
        <v>369</v>
      </c>
      <c r="C432" s="5">
        <v>95116</v>
      </c>
      <c r="D432" s="5" t="str">
        <f>"467-30-002"</f>
        <v>467-30-002</v>
      </c>
      <c r="E432" s="5" t="s">
        <v>487</v>
      </c>
      <c r="F432" s="5" t="s">
        <v>9</v>
      </c>
      <c r="G432" s="22" t="s">
        <v>18</v>
      </c>
      <c r="H432" s="22">
        <v>0</v>
      </c>
      <c r="I432" s="5">
        <v>0</v>
      </c>
      <c r="J432" s="23">
        <v>0.20400874173566999</v>
      </c>
      <c r="K432" s="22" t="s">
        <v>577</v>
      </c>
      <c r="L432" s="5" t="s">
        <v>480</v>
      </c>
      <c r="M432" s="5" t="s">
        <v>482</v>
      </c>
      <c r="N432" s="5" t="s">
        <v>481</v>
      </c>
      <c r="O432" s="5" t="s">
        <v>483</v>
      </c>
      <c r="P432" s="5">
        <v>0</v>
      </c>
      <c r="Q432" s="5">
        <v>4</v>
      </c>
      <c r="R432" s="5">
        <v>0</v>
      </c>
      <c r="S432" s="5" t="s">
        <v>21</v>
      </c>
      <c r="T432" s="5">
        <v>4</v>
      </c>
      <c r="U432" s="24"/>
      <c r="V432" s="5" t="s">
        <v>605</v>
      </c>
    </row>
    <row r="433" spans="1:22" x14ac:dyDescent="0.3">
      <c r="A433" s="5">
        <v>432</v>
      </c>
      <c r="B433" s="5" t="s">
        <v>78</v>
      </c>
      <c r="C433" s="5">
        <v>95128</v>
      </c>
      <c r="D433" s="5" t="str">
        <f>"279-27-001"</f>
        <v>279-27-001</v>
      </c>
      <c r="E433" s="5" t="s">
        <v>501</v>
      </c>
      <c r="F433" s="5" t="s">
        <v>50</v>
      </c>
      <c r="G433" s="22" t="s">
        <v>96</v>
      </c>
      <c r="H433" s="22">
        <v>45</v>
      </c>
      <c r="I433" s="5">
        <v>95</v>
      </c>
      <c r="J433" s="23">
        <v>0.19894610146389899</v>
      </c>
      <c r="K433" s="22" t="s">
        <v>582</v>
      </c>
      <c r="L433" s="5" t="s">
        <v>480</v>
      </c>
      <c r="M433" s="5" t="s">
        <v>482</v>
      </c>
      <c r="N433" s="5" t="s">
        <v>481</v>
      </c>
      <c r="O433" s="5" t="s">
        <v>483</v>
      </c>
      <c r="P433" s="5">
        <v>0</v>
      </c>
      <c r="Q433" s="5">
        <v>9</v>
      </c>
      <c r="R433" s="5">
        <v>0</v>
      </c>
      <c r="S433" s="5" t="s">
        <v>21</v>
      </c>
      <c r="T433" s="5">
        <v>9</v>
      </c>
      <c r="U433" s="24"/>
      <c r="V433" s="5" t="s">
        <v>600</v>
      </c>
    </row>
    <row r="434" spans="1:22" x14ac:dyDescent="0.3">
      <c r="A434" s="5">
        <v>433</v>
      </c>
      <c r="B434" s="5" t="s">
        <v>138</v>
      </c>
      <c r="C434" s="5">
        <v>95117</v>
      </c>
      <c r="D434" s="5" t="str">
        <f>"299-01-012"</f>
        <v>299-01-012</v>
      </c>
      <c r="E434" s="5" t="s">
        <v>509</v>
      </c>
      <c r="F434" s="5" t="s">
        <v>9</v>
      </c>
      <c r="G434" s="22" t="s">
        <v>18</v>
      </c>
      <c r="H434" s="22">
        <v>65</v>
      </c>
      <c r="I434" s="5">
        <v>250</v>
      </c>
      <c r="J434" s="23">
        <v>0.29685476517807402</v>
      </c>
      <c r="K434" s="22" t="s">
        <v>576</v>
      </c>
      <c r="L434" s="5" t="s">
        <v>480</v>
      </c>
      <c r="M434" s="5" t="s">
        <v>482</v>
      </c>
      <c r="N434" s="5" t="s">
        <v>481</v>
      </c>
      <c r="O434" s="5" t="s">
        <v>483</v>
      </c>
      <c r="P434" s="5">
        <v>0</v>
      </c>
      <c r="Q434" s="5">
        <v>19</v>
      </c>
      <c r="R434" s="5">
        <v>0</v>
      </c>
      <c r="S434" s="5" t="s">
        <v>21</v>
      </c>
      <c r="T434" s="5">
        <v>19</v>
      </c>
      <c r="U434" s="24"/>
      <c r="V434" s="5" t="s">
        <v>677</v>
      </c>
    </row>
    <row r="435" spans="1:22" x14ac:dyDescent="0.3">
      <c r="A435" s="5">
        <v>434</v>
      </c>
      <c r="B435" s="5" t="s">
        <v>329</v>
      </c>
      <c r="C435" s="5">
        <v>95126</v>
      </c>
      <c r="D435" s="5" t="str">
        <f>"264-20-128"</f>
        <v>264-20-128</v>
      </c>
      <c r="E435" s="5" t="s">
        <v>547</v>
      </c>
      <c r="F435" s="5" t="s">
        <v>20</v>
      </c>
      <c r="G435" s="22" t="s">
        <v>584</v>
      </c>
      <c r="H435" s="22">
        <v>0</v>
      </c>
      <c r="I435" s="5">
        <v>800</v>
      </c>
      <c r="J435" s="23">
        <v>0.17968142786192501</v>
      </c>
      <c r="K435" s="22" t="s">
        <v>577</v>
      </c>
      <c r="L435" s="5" t="s">
        <v>480</v>
      </c>
      <c r="M435" s="5" t="s">
        <v>482</v>
      </c>
      <c r="N435" s="5" t="s">
        <v>481</v>
      </c>
      <c r="O435" s="5" t="s">
        <v>483</v>
      </c>
      <c r="P435" s="5">
        <v>0</v>
      </c>
      <c r="Q435" s="5">
        <v>20</v>
      </c>
      <c r="R435" s="5">
        <v>0</v>
      </c>
      <c r="S435" s="5" t="s">
        <v>21</v>
      </c>
      <c r="T435" s="5">
        <v>20</v>
      </c>
      <c r="U435" s="24"/>
      <c r="V435" s="5" t="s">
        <v>770</v>
      </c>
    </row>
    <row r="436" spans="1:22" x14ac:dyDescent="0.3">
      <c r="A436" s="5">
        <v>435</v>
      </c>
      <c r="B436" s="5" t="s">
        <v>375</v>
      </c>
      <c r="C436" s="5">
        <v>95113</v>
      </c>
      <c r="D436" s="5" t="str">
        <f>"467-46-020"</f>
        <v>467-46-020</v>
      </c>
      <c r="E436" s="5" t="s">
        <v>558</v>
      </c>
      <c r="F436" s="5" t="s">
        <v>20</v>
      </c>
      <c r="G436" s="22" t="s">
        <v>584</v>
      </c>
      <c r="H436" s="22">
        <v>0</v>
      </c>
      <c r="I436" s="5">
        <v>800</v>
      </c>
      <c r="J436" s="23">
        <v>0.18228350632551199</v>
      </c>
      <c r="K436" s="22" t="s">
        <v>579</v>
      </c>
      <c r="L436" s="5" t="s">
        <v>480</v>
      </c>
      <c r="M436" s="5" t="s">
        <v>482</v>
      </c>
      <c r="N436" s="5" t="s">
        <v>481</v>
      </c>
      <c r="O436" s="5" t="s">
        <v>483</v>
      </c>
      <c r="P436" s="5">
        <v>0</v>
      </c>
      <c r="Q436" s="5">
        <v>23</v>
      </c>
      <c r="R436" s="5">
        <v>0</v>
      </c>
      <c r="S436" s="5" t="s">
        <v>21</v>
      </c>
      <c r="T436" s="5">
        <v>23</v>
      </c>
      <c r="U436" s="24"/>
      <c r="V436" s="5" t="s">
        <v>784</v>
      </c>
    </row>
    <row r="437" spans="1:22" x14ac:dyDescent="0.3">
      <c r="A437" s="5">
        <v>436</v>
      </c>
      <c r="B437" s="5" t="s">
        <v>355</v>
      </c>
      <c r="C437" s="5">
        <v>95116</v>
      </c>
      <c r="D437" s="5" t="str">
        <f>"467-11-025"</f>
        <v>467-11-025</v>
      </c>
      <c r="E437" s="5"/>
      <c r="F437" s="5" t="s">
        <v>9</v>
      </c>
      <c r="G437" s="22" t="s">
        <v>18</v>
      </c>
      <c r="H437" s="22">
        <v>0</v>
      </c>
      <c r="I437" s="5">
        <v>0</v>
      </c>
      <c r="J437" s="23">
        <v>2.30377679941979</v>
      </c>
      <c r="K437" s="22" t="s">
        <v>576</v>
      </c>
      <c r="L437" s="5" t="s">
        <v>480</v>
      </c>
      <c r="M437" s="5" t="s">
        <v>482</v>
      </c>
      <c r="N437" s="5" t="s">
        <v>481</v>
      </c>
      <c r="O437" s="5" t="s">
        <v>483</v>
      </c>
      <c r="P437" s="5">
        <v>0</v>
      </c>
      <c r="Q437" s="5">
        <v>101</v>
      </c>
      <c r="R437" s="5">
        <v>0</v>
      </c>
      <c r="S437" s="5" t="s">
        <v>21</v>
      </c>
      <c r="T437" s="5">
        <v>101</v>
      </c>
      <c r="U437" s="24"/>
      <c r="V437" s="5" t="s">
        <v>596</v>
      </c>
    </row>
    <row r="438" spans="1:22" x14ac:dyDescent="0.3">
      <c r="A438" s="5">
        <v>437</v>
      </c>
      <c r="B438" s="5" t="s">
        <v>382</v>
      </c>
      <c r="C438" s="5">
        <v>95112</v>
      </c>
      <c r="D438" s="5" t="str">
        <f>"472-26-007"</f>
        <v>472-26-007</v>
      </c>
      <c r="E438" s="5" t="s">
        <v>559</v>
      </c>
      <c r="F438" s="5" t="s">
        <v>20</v>
      </c>
      <c r="G438" s="22" t="s">
        <v>584</v>
      </c>
      <c r="H438" s="22">
        <v>0</v>
      </c>
      <c r="I438" s="5">
        <v>800</v>
      </c>
      <c r="J438" s="23">
        <v>0.122953828150244</v>
      </c>
      <c r="K438" s="22" t="s">
        <v>582</v>
      </c>
      <c r="L438" s="5" t="s">
        <v>480</v>
      </c>
      <c r="M438" s="5" t="s">
        <v>482</v>
      </c>
      <c r="N438" s="5" t="s">
        <v>481</v>
      </c>
      <c r="O438" s="5" t="s">
        <v>483</v>
      </c>
      <c r="P438" s="5">
        <v>0</v>
      </c>
      <c r="Q438" s="5">
        <v>16</v>
      </c>
      <c r="R438" s="5">
        <v>0</v>
      </c>
      <c r="S438" s="5" t="s">
        <v>21</v>
      </c>
      <c r="T438" s="5">
        <v>16</v>
      </c>
      <c r="U438" s="24"/>
      <c r="V438" s="5" t="s">
        <v>648</v>
      </c>
    </row>
    <row r="439" spans="1:22" x14ac:dyDescent="0.3">
      <c r="A439" s="5">
        <v>438</v>
      </c>
      <c r="B439" s="5" t="s">
        <v>231</v>
      </c>
      <c r="C439" s="5">
        <v>95117</v>
      </c>
      <c r="D439" s="5" t="str">
        <f>"299-01-014"</f>
        <v>299-01-014</v>
      </c>
      <c r="E439" s="5" t="s">
        <v>509</v>
      </c>
      <c r="F439" s="5" t="s">
        <v>9</v>
      </c>
      <c r="G439" s="22" t="s">
        <v>18</v>
      </c>
      <c r="H439" s="22">
        <v>65</v>
      </c>
      <c r="I439" s="5">
        <v>250</v>
      </c>
      <c r="J439" s="23">
        <v>0.27380528923497699</v>
      </c>
      <c r="K439" s="22" t="s">
        <v>576</v>
      </c>
      <c r="L439" s="5" t="s">
        <v>480</v>
      </c>
      <c r="M439" s="5" t="s">
        <v>482</v>
      </c>
      <c r="N439" s="5" t="s">
        <v>481</v>
      </c>
      <c r="O439" s="5" t="s">
        <v>483</v>
      </c>
      <c r="P439" s="5">
        <v>0</v>
      </c>
      <c r="Q439" s="5">
        <v>18</v>
      </c>
      <c r="R439" s="5">
        <v>0</v>
      </c>
      <c r="S439" s="5" t="s">
        <v>21</v>
      </c>
      <c r="T439" s="5">
        <v>18</v>
      </c>
      <c r="U439" s="24"/>
      <c r="V439" s="5" t="s">
        <v>647</v>
      </c>
    </row>
    <row r="440" spans="1:22" x14ac:dyDescent="0.3">
      <c r="A440" s="5">
        <v>439</v>
      </c>
      <c r="B440" s="5" t="s">
        <v>269</v>
      </c>
      <c r="C440" s="5">
        <v>95126</v>
      </c>
      <c r="D440" s="5" t="str">
        <f>"259-47-033"</f>
        <v>259-47-033</v>
      </c>
      <c r="E440" s="5" t="s">
        <v>534</v>
      </c>
      <c r="F440" s="5" t="s">
        <v>20</v>
      </c>
      <c r="G440" s="22" t="s">
        <v>584</v>
      </c>
      <c r="H440" s="22">
        <v>0</v>
      </c>
      <c r="I440" s="5">
        <v>800</v>
      </c>
      <c r="J440" s="23">
        <v>0.113759624876802</v>
      </c>
      <c r="K440" s="22" t="s">
        <v>580</v>
      </c>
      <c r="L440" s="5" t="s">
        <v>480</v>
      </c>
      <c r="M440" s="5" t="s">
        <v>482</v>
      </c>
      <c r="N440" s="5" t="s">
        <v>481</v>
      </c>
      <c r="O440" s="5" t="s">
        <v>483</v>
      </c>
      <c r="P440" s="5">
        <v>0</v>
      </c>
      <c r="Q440" s="5">
        <v>21</v>
      </c>
      <c r="R440" s="5">
        <v>0</v>
      </c>
      <c r="S440" s="5" t="s">
        <v>21</v>
      </c>
      <c r="T440" s="5">
        <v>21</v>
      </c>
      <c r="U440" s="24"/>
      <c r="V440" s="5" t="s">
        <v>745</v>
      </c>
    </row>
    <row r="441" spans="1:22" x14ac:dyDescent="0.3">
      <c r="A441" s="5">
        <v>440</v>
      </c>
      <c r="B441" s="5" t="s">
        <v>261</v>
      </c>
      <c r="C441" s="5">
        <v>95110</v>
      </c>
      <c r="D441" s="5" t="str">
        <f>"259-46-069"</f>
        <v>259-46-069</v>
      </c>
      <c r="E441" s="5" t="s">
        <v>531</v>
      </c>
      <c r="F441" s="5" t="s">
        <v>20</v>
      </c>
      <c r="G441" s="22" t="s">
        <v>584</v>
      </c>
      <c r="H441" s="22">
        <v>0</v>
      </c>
      <c r="I441" s="5">
        <v>800</v>
      </c>
      <c r="J441" s="23">
        <v>6.6687498998768996E-2</v>
      </c>
      <c r="K441" s="22" t="s">
        <v>577</v>
      </c>
      <c r="L441" s="5" t="s">
        <v>480</v>
      </c>
      <c r="M441" s="5" t="s">
        <v>482</v>
      </c>
      <c r="N441" s="5" t="s">
        <v>481</v>
      </c>
      <c r="O441" s="5" t="s">
        <v>483</v>
      </c>
      <c r="P441" s="5">
        <v>0</v>
      </c>
      <c r="Q441" s="5">
        <v>7</v>
      </c>
      <c r="R441" s="5">
        <v>0</v>
      </c>
      <c r="S441" s="5" t="s">
        <v>21</v>
      </c>
      <c r="T441" s="5">
        <v>7</v>
      </c>
      <c r="U441" s="24"/>
      <c r="V441" s="5" t="s">
        <v>614</v>
      </c>
    </row>
    <row r="442" spans="1:22" x14ac:dyDescent="0.3">
      <c r="A442" s="5">
        <v>441</v>
      </c>
      <c r="B442" s="5" t="s">
        <v>320</v>
      </c>
      <c r="C442" s="5">
        <v>95126</v>
      </c>
      <c r="D442" s="5" t="str">
        <f>"264-20-059"</f>
        <v>264-20-059</v>
      </c>
      <c r="E442" s="5" t="s">
        <v>545</v>
      </c>
      <c r="F442" s="5" t="s">
        <v>20</v>
      </c>
      <c r="G442" s="22" t="s">
        <v>584</v>
      </c>
      <c r="H442" s="22">
        <v>0</v>
      </c>
      <c r="I442" s="5">
        <v>800</v>
      </c>
      <c r="J442" s="23">
        <v>8.2647052185864101E-2</v>
      </c>
      <c r="K442" s="22" t="s">
        <v>576</v>
      </c>
      <c r="L442" s="5" t="s">
        <v>480</v>
      </c>
      <c r="M442" s="5" t="s">
        <v>482</v>
      </c>
      <c r="N442" s="5" t="s">
        <v>481</v>
      </c>
      <c r="O442" s="5" t="s">
        <v>483</v>
      </c>
      <c r="P442" s="5">
        <v>0</v>
      </c>
      <c r="Q442" s="5">
        <v>15</v>
      </c>
      <c r="R442" s="5">
        <v>0</v>
      </c>
      <c r="S442" s="5" t="s">
        <v>21</v>
      </c>
      <c r="T442" s="5">
        <v>15</v>
      </c>
      <c r="U442" s="24"/>
      <c r="V442" s="5" t="s">
        <v>765</v>
      </c>
    </row>
    <row r="443" spans="1:22" x14ac:dyDescent="0.3">
      <c r="A443" s="5">
        <v>442</v>
      </c>
      <c r="B443" s="5" t="s">
        <v>287</v>
      </c>
      <c r="C443" s="5">
        <v>95126</v>
      </c>
      <c r="D443" s="5" t="str">
        <f>"261-01-090"</f>
        <v>261-01-090</v>
      </c>
      <c r="E443" s="5" t="s">
        <v>537</v>
      </c>
      <c r="F443" s="5" t="s">
        <v>222</v>
      </c>
      <c r="G443" s="22" t="s">
        <v>223</v>
      </c>
      <c r="H443" s="22">
        <v>65</v>
      </c>
      <c r="I443" s="5">
        <v>450</v>
      </c>
      <c r="J443" s="23">
        <v>0.28419114527098299</v>
      </c>
      <c r="K443" s="22" t="s">
        <v>581</v>
      </c>
      <c r="L443" s="5" t="s">
        <v>480</v>
      </c>
      <c r="M443" s="5" t="s">
        <v>482</v>
      </c>
      <c r="N443" s="5" t="s">
        <v>481</v>
      </c>
      <c r="O443" s="5" t="s">
        <v>483</v>
      </c>
      <c r="P443" s="25">
        <v>0</v>
      </c>
      <c r="Q443" s="5">
        <v>36</v>
      </c>
      <c r="R443" s="25">
        <v>0</v>
      </c>
      <c r="S443" s="5" t="s">
        <v>21</v>
      </c>
      <c r="T443" s="5">
        <v>36</v>
      </c>
      <c r="U443" s="24"/>
      <c r="V443" s="5" t="s">
        <v>746</v>
      </c>
    </row>
    <row r="444" spans="1:22" x14ac:dyDescent="0.3">
      <c r="A444" s="5">
        <v>443</v>
      </c>
      <c r="B444" s="5" t="s">
        <v>241</v>
      </c>
      <c r="C444" s="5">
        <v>95110</v>
      </c>
      <c r="D444" s="5" t="str">
        <f>"259-29-003"</f>
        <v>259-29-003</v>
      </c>
      <c r="E444" s="5"/>
      <c r="F444" s="5" t="s">
        <v>20</v>
      </c>
      <c r="G444" s="22" t="s">
        <v>584</v>
      </c>
      <c r="H444" s="22">
        <v>0</v>
      </c>
      <c r="I444" s="5">
        <v>800</v>
      </c>
      <c r="J444" s="23">
        <v>0.162188176026311</v>
      </c>
      <c r="K444" s="22" t="s">
        <v>577</v>
      </c>
      <c r="L444" s="5" t="s">
        <v>480</v>
      </c>
      <c r="M444" s="5" t="s">
        <v>482</v>
      </c>
      <c r="N444" s="5" t="s">
        <v>481</v>
      </c>
      <c r="O444" s="5" t="s">
        <v>483</v>
      </c>
      <c r="P444" s="5">
        <v>0</v>
      </c>
      <c r="Q444" s="5">
        <v>17</v>
      </c>
      <c r="R444" s="5">
        <v>0</v>
      </c>
      <c r="S444" s="5" t="s">
        <v>21</v>
      </c>
      <c r="T444" s="5">
        <v>17</v>
      </c>
      <c r="U444" s="24"/>
      <c r="V444" s="5" t="s">
        <v>734</v>
      </c>
    </row>
    <row r="445" spans="1:22" x14ac:dyDescent="0.3">
      <c r="A445" s="5">
        <v>444</v>
      </c>
      <c r="B445" s="5" t="s">
        <v>132</v>
      </c>
      <c r="C445" s="5">
        <v>95129</v>
      </c>
      <c r="D445" s="5" t="str">
        <f>"294-42-001"</f>
        <v>294-42-001</v>
      </c>
      <c r="E445" s="5" t="s">
        <v>508</v>
      </c>
      <c r="F445" s="5" t="s">
        <v>9</v>
      </c>
      <c r="G445" s="22" t="s">
        <v>18</v>
      </c>
      <c r="H445" s="22">
        <v>65</v>
      </c>
      <c r="I445" s="5">
        <v>250</v>
      </c>
      <c r="J445" s="23">
        <v>0.89729705282564998</v>
      </c>
      <c r="K445" s="22" t="s">
        <v>576</v>
      </c>
      <c r="L445" s="5" t="s">
        <v>480</v>
      </c>
      <c r="M445" s="5" t="s">
        <v>482</v>
      </c>
      <c r="N445" s="5" t="s">
        <v>481</v>
      </c>
      <c r="O445" s="5" t="s">
        <v>483</v>
      </c>
      <c r="P445" s="5">
        <v>0</v>
      </c>
      <c r="Q445" s="5">
        <v>58</v>
      </c>
      <c r="R445" s="5">
        <v>0</v>
      </c>
      <c r="S445" s="5" t="s">
        <v>21</v>
      </c>
      <c r="T445" s="5">
        <v>58</v>
      </c>
      <c r="U445" s="24"/>
      <c r="V445" s="5" t="s">
        <v>673</v>
      </c>
    </row>
    <row r="446" spans="1:22" x14ac:dyDescent="0.3">
      <c r="A446" s="5">
        <v>445</v>
      </c>
      <c r="B446" s="5" t="s">
        <v>249</v>
      </c>
      <c r="C446" s="5">
        <v>95110</v>
      </c>
      <c r="D446" s="5" t="str">
        <f>"259-46-045"</f>
        <v>259-46-045</v>
      </c>
      <c r="E446" s="5" t="s">
        <v>530</v>
      </c>
      <c r="F446" s="5" t="s">
        <v>20</v>
      </c>
      <c r="G446" s="22" t="s">
        <v>584</v>
      </c>
      <c r="H446" s="22">
        <v>0</v>
      </c>
      <c r="I446" s="5">
        <v>800</v>
      </c>
      <c r="J446" s="23">
        <v>0.14545942924602401</v>
      </c>
      <c r="K446" s="22" t="s">
        <v>577</v>
      </c>
      <c r="L446" s="5" t="s">
        <v>480</v>
      </c>
      <c r="M446" s="5" t="s">
        <v>482</v>
      </c>
      <c r="N446" s="5" t="s">
        <v>481</v>
      </c>
      <c r="O446" s="5" t="s">
        <v>483</v>
      </c>
      <c r="P446" s="5">
        <v>0</v>
      </c>
      <c r="Q446" s="5">
        <v>17</v>
      </c>
      <c r="R446" s="5">
        <v>0</v>
      </c>
      <c r="S446" s="5" t="s">
        <v>21</v>
      </c>
      <c r="T446" s="5">
        <v>17</v>
      </c>
      <c r="U446" s="24"/>
      <c r="V446" s="5" t="s">
        <v>614</v>
      </c>
    </row>
    <row r="447" spans="1:22" x14ac:dyDescent="0.3">
      <c r="A447" s="5">
        <v>446</v>
      </c>
      <c r="B447" s="5" t="s">
        <v>284</v>
      </c>
      <c r="C447" s="5">
        <v>95110</v>
      </c>
      <c r="D447" s="5" t="str">
        <f>"259-48-034"</f>
        <v>259-48-034</v>
      </c>
      <c r="E447" s="5"/>
      <c r="F447" s="5" t="s">
        <v>20</v>
      </c>
      <c r="G447" s="22" t="s">
        <v>584</v>
      </c>
      <c r="H447" s="22">
        <v>0</v>
      </c>
      <c r="I447" s="5">
        <v>800</v>
      </c>
      <c r="J447" s="23">
        <v>0.35988413236952899</v>
      </c>
      <c r="K447" s="22" t="s">
        <v>581</v>
      </c>
      <c r="L447" s="5" t="s">
        <v>480</v>
      </c>
      <c r="M447" s="5" t="s">
        <v>482</v>
      </c>
      <c r="N447" s="5" t="s">
        <v>481</v>
      </c>
      <c r="O447" s="5" t="s">
        <v>483</v>
      </c>
      <c r="P447" s="5">
        <v>0</v>
      </c>
      <c r="Q447" s="5">
        <v>58</v>
      </c>
      <c r="R447" s="5">
        <v>0</v>
      </c>
      <c r="S447" s="5" t="s">
        <v>21</v>
      </c>
      <c r="T447" s="5">
        <v>58</v>
      </c>
      <c r="U447" s="24"/>
      <c r="V447" s="5" t="s">
        <v>746</v>
      </c>
    </row>
    <row r="448" spans="1:22" x14ac:dyDescent="0.3">
      <c r="A448" s="5">
        <v>447</v>
      </c>
      <c r="B448" s="5" t="s">
        <v>371</v>
      </c>
      <c r="C448" s="5">
        <v>95112</v>
      </c>
      <c r="D448" s="5" t="str">
        <f>"467-45-067"</f>
        <v>467-45-067</v>
      </c>
      <c r="E448" s="5"/>
      <c r="F448" s="5" t="s">
        <v>20</v>
      </c>
      <c r="G448" s="22" t="s">
        <v>584</v>
      </c>
      <c r="H448" s="22">
        <v>0</v>
      </c>
      <c r="I448" s="5">
        <v>800</v>
      </c>
      <c r="J448" s="23">
        <v>0.28737927577054001</v>
      </c>
      <c r="K448" s="22" t="s">
        <v>576</v>
      </c>
      <c r="L448" s="5" t="s">
        <v>480</v>
      </c>
      <c r="M448" s="5" t="s">
        <v>482</v>
      </c>
      <c r="N448" s="5" t="s">
        <v>481</v>
      </c>
      <c r="O448" s="5" t="s">
        <v>483</v>
      </c>
      <c r="P448" s="5">
        <v>0</v>
      </c>
      <c r="Q448" s="5">
        <v>36</v>
      </c>
      <c r="R448" s="5">
        <v>0</v>
      </c>
      <c r="S448" s="5" t="s">
        <v>21</v>
      </c>
      <c r="T448" s="5">
        <v>36</v>
      </c>
      <c r="U448" s="24"/>
      <c r="V448" s="5" t="s">
        <v>784</v>
      </c>
    </row>
    <row r="449" spans="1:22" x14ac:dyDescent="0.3">
      <c r="A449" s="5">
        <v>448</v>
      </c>
      <c r="B449" s="5" t="s">
        <v>101</v>
      </c>
      <c r="C449" s="5">
        <v>95128</v>
      </c>
      <c r="D449" s="5" t="str">
        <f>"279-26-016"</f>
        <v>279-26-016</v>
      </c>
      <c r="E449" s="5" t="s">
        <v>500</v>
      </c>
      <c r="F449" s="5" t="s">
        <v>50</v>
      </c>
      <c r="G449" s="22" t="s">
        <v>96</v>
      </c>
      <c r="H449" s="22">
        <v>45</v>
      </c>
      <c r="I449" s="5">
        <v>95</v>
      </c>
      <c r="J449" s="23">
        <v>0.50846717411596798</v>
      </c>
      <c r="K449" s="22" t="s">
        <v>580</v>
      </c>
      <c r="L449" s="5" t="s">
        <v>480</v>
      </c>
      <c r="M449" s="5" t="s">
        <v>482</v>
      </c>
      <c r="N449" s="5" t="s">
        <v>481</v>
      </c>
      <c r="O449" s="5" t="s">
        <v>483</v>
      </c>
      <c r="P449" s="5">
        <v>0</v>
      </c>
      <c r="Q449" s="5">
        <v>26</v>
      </c>
      <c r="R449" s="5">
        <v>0</v>
      </c>
      <c r="S449" s="5" t="s">
        <v>21</v>
      </c>
      <c r="T449" s="5">
        <v>26</v>
      </c>
      <c r="U449" s="24"/>
      <c r="V449" s="5" t="s">
        <v>648</v>
      </c>
    </row>
    <row r="450" spans="1:22" x14ac:dyDescent="0.3">
      <c r="A450" s="5">
        <v>449</v>
      </c>
      <c r="B450" s="5" t="s">
        <v>340</v>
      </c>
      <c r="C450" s="5">
        <v>95126</v>
      </c>
      <c r="D450" s="5" t="str">
        <f>"264-26-001"</f>
        <v>264-26-001</v>
      </c>
      <c r="E450" s="5" t="s">
        <v>549</v>
      </c>
      <c r="F450" s="5" t="s">
        <v>20</v>
      </c>
      <c r="G450" s="22" t="s">
        <v>584</v>
      </c>
      <c r="H450" s="22">
        <v>0</v>
      </c>
      <c r="I450" s="5">
        <v>800</v>
      </c>
      <c r="J450" s="23">
        <v>0.15556585385657901</v>
      </c>
      <c r="K450" s="22" t="s">
        <v>576</v>
      </c>
      <c r="L450" s="5" t="s">
        <v>480</v>
      </c>
      <c r="M450" s="5" t="s">
        <v>482</v>
      </c>
      <c r="N450" s="5" t="s">
        <v>481</v>
      </c>
      <c r="O450" s="5" t="s">
        <v>483</v>
      </c>
      <c r="P450" s="5">
        <v>0</v>
      </c>
      <c r="Q450" s="5">
        <v>21</v>
      </c>
      <c r="R450" s="5">
        <v>0</v>
      </c>
      <c r="S450" s="5" t="s">
        <v>21</v>
      </c>
      <c r="T450" s="5">
        <v>21</v>
      </c>
      <c r="U450" s="24"/>
      <c r="V450" s="5" t="s">
        <v>596</v>
      </c>
    </row>
    <row r="451" spans="1:22" x14ac:dyDescent="0.3">
      <c r="A451" s="5">
        <v>450</v>
      </c>
      <c r="B451" s="5" t="s">
        <v>270</v>
      </c>
      <c r="C451" s="5">
        <v>95126</v>
      </c>
      <c r="D451" s="5" t="str">
        <f>"259-47-034"</f>
        <v>259-47-034</v>
      </c>
      <c r="E451" s="5" t="s">
        <v>534</v>
      </c>
      <c r="F451" s="5" t="s">
        <v>20</v>
      </c>
      <c r="G451" s="22" t="s">
        <v>584</v>
      </c>
      <c r="H451" s="22">
        <v>0</v>
      </c>
      <c r="I451" s="5">
        <v>800</v>
      </c>
      <c r="J451" s="23">
        <v>0.110996819807506</v>
      </c>
      <c r="K451" s="22" t="s">
        <v>580</v>
      </c>
      <c r="L451" s="5" t="s">
        <v>480</v>
      </c>
      <c r="M451" s="5" t="s">
        <v>482</v>
      </c>
      <c r="N451" s="5" t="s">
        <v>481</v>
      </c>
      <c r="O451" s="5" t="s">
        <v>483</v>
      </c>
      <c r="P451" s="5">
        <v>0</v>
      </c>
      <c r="Q451" s="5">
        <v>21</v>
      </c>
      <c r="R451" s="5">
        <v>0</v>
      </c>
      <c r="S451" s="5" t="s">
        <v>21</v>
      </c>
      <c r="T451" s="5">
        <v>21</v>
      </c>
      <c r="U451" s="24"/>
      <c r="V451" s="5" t="s">
        <v>741</v>
      </c>
    </row>
    <row r="452" spans="1:22" x14ac:dyDescent="0.3">
      <c r="A452" s="5">
        <v>451</v>
      </c>
      <c r="B452" s="5" t="s">
        <v>326</v>
      </c>
      <c r="C452" s="5">
        <v>95126</v>
      </c>
      <c r="D452" s="5" t="str">
        <f>"264-20-074"</f>
        <v>264-20-074</v>
      </c>
      <c r="E452" s="5" t="s">
        <v>545</v>
      </c>
      <c r="F452" s="5" t="s">
        <v>20</v>
      </c>
      <c r="G452" s="22" t="s">
        <v>584</v>
      </c>
      <c r="H452" s="22">
        <v>0</v>
      </c>
      <c r="I452" s="5">
        <v>800</v>
      </c>
      <c r="J452" s="23">
        <v>0.118033885305173</v>
      </c>
      <c r="K452" s="22" t="s">
        <v>582</v>
      </c>
      <c r="L452" s="5" t="s">
        <v>480</v>
      </c>
      <c r="M452" s="5" t="s">
        <v>482</v>
      </c>
      <c r="N452" s="5" t="s">
        <v>481</v>
      </c>
      <c r="O452" s="5" t="s">
        <v>483</v>
      </c>
      <c r="P452" s="5">
        <v>0</v>
      </c>
      <c r="Q452" s="5">
        <v>17</v>
      </c>
      <c r="R452" s="5">
        <v>0</v>
      </c>
      <c r="S452" s="5" t="s">
        <v>21</v>
      </c>
      <c r="T452" s="5">
        <v>17</v>
      </c>
      <c r="U452" s="24"/>
      <c r="V452" s="5" t="s">
        <v>767</v>
      </c>
    </row>
    <row r="453" spans="1:22" x14ac:dyDescent="0.3">
      <c r="A453" s="5">
        <v>452</v>
      </c>
      <c r="B453" s="5" t="s">
        <v>78</v>
      </c>
      <c r="C453" s="5">
        <v>95110</v>
      </c>
      <c r="D453" s="5" t="str">
        <f>"259-46-094"</f>
        <v>259-46-094</v>
      </c>
      <c r="E453" s="5" t="s">
        <v>531</v>
      </c>
      <c r="F453" s="5" t="s">
        <v>20</v>
      </c>
      <c r="G453" s="22" t="s">
        <v>584</v>
      </c>
      <c r="H453" s="22">
        <v>0</v>
      </c>
      <c r="I453" s="5">
        <v>800</v>
      </c>
      <c r="J453" s="23">
        <v>7.9462034881265395E-2</v>
      </c>
      <c r="K453" s="22" t="s">
        <v>582</v>
      </c>
      <c r="L453" s="5" t="s">
        <v>480</v>
      </c>
      <c r="M453" s="5" t="s">
        <v>482</v>
      </c>
      <c r="N453" s="5" t="s">
        <v>481</v>
      </c>
      <c r="O453" s="5" t="s">
        <v>483</v>
      </c>
      <c r="P453" s="5">
        <v>0</v>
      </c>
      <c r="Q453" s="5">
        <v>10</v>
      </c>
      <c r="R453" s="5">
        <v>0</v>
      </c>
      <c r="S453" s="5" t="s">
        <v>21</v>
      </c>
      <c r="T453" s="5">
        <v>10</v>
      </c>
      <c r="U453" s="24"/>
      <c r="V453" s="5" t="s">
        <v>694</v>
      </c>
    </row>
    <row r="454" spans="1:22" x14ac:dyDescent="0.3">
      <c r="A454" s="5">
        <v>453</v>
      </c>
      <c r="B454" s="5" t="s">
        <v>442</v>
      </c>
      <c r="C454" s="5">
        <v>95002</v>
      </c>
      <c r="D454" s="5" t="str">
        <f>"015-02-054"</f>
        <v>015-02-054</v>
      </c>
      <c r="E454" s="5"/>
      <c r="F454" s="5" t="s">
        <v>33</v>
      </c>
      <c r="G454" s="22" t="s">
        <v>34</v>
      </c>
      <c r="H454" s="22">
        <v>0</v>
      </c>
      <c r="I454" s="5">
        <v>30</v>
      </c>
      <c r="J454" s="23">
        <v>0.16937717992034099</v>
      </c>
      <c r="K454" s="22" t="s">
        <v>581</v>
      </c>
      <c r="L454" s="5" t="s">
        <v>480</v>
      </c>
      <c r="M454" s="5" t="s">
        <v>482</v>
      </c>
      <c r="N454" s="5" t="s">
        <v>481</v>
      </c>
      <c r="O454" s="5" t="s">
        <v>483</v>
      </c>
      <c r="P454" s="5">
        <v>0</v>
      </c>
      <c r="Q454" s="5">
        <v>3</v>
      </c>
      <c r="R454" s="5">
        <v>0</v>
      </c>
      <c r="S454" s="5" t="s">
        <v>21</v>
      </c>
      <c r="T454" s="5">
        <v>3</v>
      </c>
      <c r="U454" s="24"/>
      <c r="V454" s="5">
        <v>0</v>
      </c>
    </row>
    <row r="455" spans="1:22" x14ac:dyDescent="0.3">
      <c r="A455" s="5">
        <v>454</v>
      </c>
      <c r="B455" s="5" t="s">
        <v>78</v>
      </c>
      <c r="C455" s="5">
        <v>95002</v>
      </c>
      <c r="D455" s="5" t="str">
        <f>"015-41-006"</f>
        <v>015-41-006</v>
      </c>
      <c r="E455" s="5"/>
      <c r="F455" s="5" t="s">
        <v>33</v>
      </c>
      <c r="G455" s="22" t="s">
        <v>34</v>
      </c>
      <c r="H455" s="22">
        <v>0</v>
      </c>
      <c r="I455" s="5">
        <v>30</v>
      </c>
      <c r="J455" s="23">
        <v>0.71826165120666197</v>
      </c>
      <c r="K455" s="22" t="s">
        <v>577</v>
      </c>
      <c r="L455" s="5" t="s">
        <v>480</v>
      </c>
      <c r="M455" s="5" t="s">
        <v>482</v>
      </c>
      <c r="N455" s="5" t="s">
        <v>481</v>
      </c>
      <c r="O455" s="5" t="s">
        <v>483</v>
      </c>
      <c r="P455" s="5">
        <v>0</v>
      </c>
      <c r="Q455" s="5">
        <v>11</v>
      </c>
      <c r="R455" s="5">
        <v>0</v>
      </c>
      <c r="S455" s="5" t="s">
        <v>21</v>
      </c>
      <c r="T455" s="5">
        <v>11</v>
      </c>
      <c r="U455" s="24"/>
      <c r="V455" s="5" t="s">
        <v>817</v>
      </c>
    </row>
    <row r="456" spans="1:22" x14ac:dyDescent="0.3">
      <c r="A456" s="5">
        <v>455</v>
      </c>
      <c r="B456" s="5" t="s">
        <v>78</v>
      </c>
      <c r="C456" s="5">
        <v>95116</v>
      </c>
      <c r="D456" s="5" t="str">
        <f>"481-46-013"</f>
        <v>481-46-013</v>
      </c>
      <c r="E456" s="5"/>
      <c r="F456" s="5" t="s">
        <v>54</v>
      </c>
      <c r="G456" s="22" t="s">
        <v>589</v>
      </c>
      <c r="H456" s="22">
        <v>0</v>
      </c>
      <c r="I456" s="5">
        <v>8</v>
      </c>
      <c r="J456" s="23">
        <v>0.56894989039340904</v>
      </c>
      <c r="K456" s="22" t="s">
        <v>577</v>
      </c>
      <c r="L456" s="5" t="s">
        <v>480</v>
      </c>
      <c r="M456" s="5" t="s">
        <v>482</v>
      </c>
      <c r="N456" s="5" t="s">
        <v>481</v>
      </c>
      <c r="O456" s="5" t="s">
        <v>483</v>
      </c>
      <c r="P456" s="5">
        <v>0</v>
      </c>
      <c r="Q456" s="5">
        <v>3</v>
      </c>
      <c r="R456" s="5">
        <v>0</v>
      </c>
      <c r="S456" s="5" t="s">
        <v>21</v>
      </c>
      <c r="T456" s="5">
        <v>3</v>
      </c>
      <c r="U456" s="24"/>
      <c r="V456" s="5" t="s">
        <v>694</v>
      </c>
    </row>
    <row r="457" spans="1:22" x14ac:dyDescent="0.3">
      <c r="A457" s="5">
        <v>456</v>
      </c>
      <c r="B457" s="5" t="s">
        <v>328</v>
      </c>
      <c r="C457" s="5">
        <v>95126</v>
      </c>
      <c r="D457" s="5" t="str">
        <f>"264-20-081"</f>
        <v>264-20-081</v>
      </c>
      <c r="E457" s="5"/>
      <c r="F457" s="5" t="s">
        <v>20</v>
      </c>
      <c r="G457" s="22" t="s">
        <v>584</v>
      </c>
      <c r="H457" s="22">
        <v>0</v>
      </c>
      <c r="I457" s="5">
        <v>800</v>
      </c>
      <c r="J457" s="23">
        <v>0.46052098034720601</v>
      </c>
      <c r="K457" s="22" t="s">
        <v>576</v>
      </c>
      <c r="L457" s="5" t="s">
        <v>480</v>
      </c>
      <c r="M457" s="5" t="s">
        <v>482</v>
      </c>
      <c r="N457" s="5" t="s">
        <v>481</v>
      </c>
      <c r="O457" s="5" t="s">
        <v>483</v>
      </c>
      <c r="P457" s="5">
        <v>0</v>
      </c>
      <c r="Q457" s="5">
        <v>67</v>
      </c>
      <c r="R457" s="5">
        <v>0</v>
      </c>
      <c r="S457" s="5" t="s">
        <v>21</v>
      </c>
      <c r="T457" s="5">
        <v>67</v>
      </c>
      <c r="U457" s="24"/>
      <c r="V457" s="5" t="s">
        <v>769</v>
      </c>
    </row>
    <row r="458" spans="1:22" x14ac:dyDescent="0.3">
      <c r="A458" s="5">
        <v>457</v>
      </c>
      <c r="B458" s="5" t="s">
        <v>78</v>
      </c>
      <c r="C458" s="5">
        <v>95135</v>
      </c>
      <c r="D458" s="5" t="str">
        <f>"659-84-096"</f>
        <v>659-84-096</v>
      </c>
      <c r="E458" s="5"/>
      <c r="F458" s="5" t="s">
        <v>33</v>
      </c>
      <c r="G458" s="22" t="s">
        <v>34</v>
      </c>
      <c r="H458" s="22">
        <v>0</v>
      </c>
      <c r="I458" s="5">
        <v>30</v>
      </c>
      <c r="J458" s="23">
        <v>1.12299974496281</v>
      </c>
      <c r="K458" s="22" t="s">
        <v>577</v>
      </c>
      <c r="L458" s="5" t="s">
        <v>480</v>
      </c>
      <c r="M458" s="5" t="s">
        <v>482</v>
      </c>
      <c r="N458" s="5" t="s">
        <v>481</v>
      </c>
      <c r="O458" s="5" t="s">
        <v>483</v>
      </c>
      <c r="P458" s="5">
        <v>0</v>
      </c>
      <c r="Q458" s="5">
        <v>22</v>
      </c>
      <c r="R458" s="5">
        <v>0</v>
      </c>
      <c r="S458" s="5" t="s">
        <v>21</v>
      </c>
      <c r="T458" s="5">
        <v>22</v>
      </c>
      <c r="U458" s="24"/>
      <c r="V458" s="5" t="s">
        <v>600</v>
      </c>
    </row>
    <row r="459" spans="1:22" x14ac:dyDescent="0.3">
      <c r="A459" s="5">
        <v>458</v>
      </c>
      <c r="B459" s="5" t="s">
        <v>393</v>
      </c>
      <c r="C459" s="5">
        <v>95116</v>
      </c>
      <c r="D459" s="5" t="str">
        <f>"481-18-047"</f>
        <v>481-18-047</v>
      </c>
      <c r="E459" s="5"/>
      <c r="F459" s="5" t="s">
        <v>9</v>
      </c>
      <c r="G459" s="22" t="s">
        <v>585</v>
      </c>
      <c r="H459" s="22">
        <v>0</v>
      </c>
      <c r="I459" s="5">
        <v>250</v>
      </c>
      <c r="J459" s="23">
        <v>0.65307452099937902</v>
      </c>
      <c r="K459" s="22" t="s">
        <v>576</v>
      </c>
      <c r="L459" s="5" t="s">
        <v>480</v>
      </c>
      <c r="M459" s="5" t="s">
        <v>482</v>
      </c>
      <c r="N459" s="5" t="s">
        <v>481</v>
      </c>
      <c r="O459" s="5" t="s">
        <v>483</v>
      </c>
      <c r="P459" s="5">
        <v>0</v>
      </c>
      <c r="Q459" s="5">
        <v>26</v>
      </c>
      <c r="R459" s="5">
        <v>0</v>
      </c>
      <c r="S459" s="5" t="s">
        <v>21</v>
      </c>
      <c r="T459" s="5">
        <v>26</v>
      </c>
      <c r="U459" s="24"/>
      <c r="V459" s="5" t="s">
        <v>791</v>
      </c>
    </row>
    <row r="460" spans="1:22" x14ac:dyDescent="0.3">
      <c r="A460" s="5">
        <v>459</v>
      </c>
      <c r="B460" s="5" t="s">
        <v>78</v>
      </c>
      <c r="C460" s="5">
        <v>95113</v>
      </c>
      <c r="D460" s="5" t="str">
        <f>"259-33-059"</f>
        <v>259-33-059</v>
      </c>
      <c r="E460" s="5" t="s">
        <v>574</v>
      </c>
      <c r="F460" s="5" t="s">
        <v>20</v>
      </c>
      <c r="G460" s="22" t="s">
        <v>584</v>
      </c>
      <c r="H460" s="22">
        <v>0</v>
      </c>
      <c r="I460" s="5">
        <v>800</v>
      </c>
      <c r="J460" s="23">
        <v>0.106349065594598</v>
      </c>
      <c r="K460" s="22" t="s">
        <v>582</v>
      </c>
      <c r="L460" s="5" t="s">
        <v>480</v>
      </c>
      <c r="M460" s="5" t="s">
        <v>482</v>
      </c>
      <c r="N460" s="5" t="s">
        <v>481</v>
      </c>
      <c r="O460" s="5" t="s">
        <v>483</v>
      </c>
      <c r="P460" s="5">
        <v>0</v>
      </c>
      <c r="Q460" s="5">
        <v>16</v>
      </c>
      <c r="R460" s="5">
        <v>0</v>
      </c>
      <c r="S460" s="5" t="s">
        <v>21</v>
      </c>
      <c r="T460" s="5">
        <v>16</v>
      </c>
      <c r="U460" s="24"/>
      <c r="V460" s="5" t="s">
        <v>600</v>
      </c>
    </row>
    <row r="461" spans="1:22" x14ac:dyDescent="0.3">
      <c r="A461" s="5">
        <v>460</v>
      </c>
      <c r="B461" s="5" t="s">
        <v>102</v>
      </c>
      <c r="C461" s="5">
        <v>95128</v>
      </c>
      <c r="D461" s="5" t="str">
        <f>"279-26-017"</f>
        <v>279-26-017</v>
      </c>
      <c r="E461" s="5" t="s">
        <v>500</v>
      </c>
      <c r="F461" s="5" t="s">
        <v>50</v>
      </c>
      <c r="G461" s="22" t="s">
        <v>96</v>
      </c>
      <c r="H461" s="22">
        <v>45</v>
      </c>
      <c r="I461" s="5">
        <v>95</v>
      </c>
      <c r="J461" s="23">
        <v>0.53416462137232601</v>
      </c>
      <c r="K461" s="22" t="s">
        <v>576</v>
      </c>
      <c r="L461" s="5" t="s">
        <v>480</v>
      </c>
      <c r="M461" s="5" t="s">
        <v>482</v>
      </c>
      <c r="N461" s="5" t="s">
        <v>481</v>
      </c>
      <c r="O461" s="5" t="s">
        <v>483</v>
      </c>
      <c r="P461" s="5">
        <v>0</v>
      </c>
      <c r="Q461" s="5">
        <v>24</v>
      </c>
      <c r="R461" s="5">
        <v>0</v>
      </c>
      <c r="S461" s="5" t="s">
        <v>21</v>
      </c>
      <c r="T461" s="5">
        <v>24</v>
      </c>
      <c r="U461" s="24"/>
      <c r="V461" s="5" t="s">
        <v>649</v>
      </c>
    </row>
    <row r="462" spans="1:22" x14ac:dyDescent="0.3">
      <c r="A462" s="5">
        <v>461</v>
      </c>
      <c r="B462" s="5" t="s">
        <v>243</v>
      </c>
      <c r="C462" s="5">
        <v>95110</v>
      </c>
      <c r="D462" s="5" t="str">
        <f>"259-29-007"</f>
        <v>259-29-007</v>
      </c>
      <c r="E462" s="5" t="s">
        <v>528</v>
      </c>
      <c r="F462" s="5" t="s">
        <v>20</v>
      </c>
      <c r="G462" s="22" t="s">
        <v>584</v>
      </c>
      <c r="H462" s="22">
        <v>0</v>
      </c>
      <c r="I462" s="5">
        <v>800</v>
      </c>
      <c r="J462" s="23">
        <v>0.168320918027761</v>
      </c>
      <c r="K462" s="22" t="s">
        <v>580</v>
      </c>
      <c r="L462" s="5" t="s">
        <v>480</v>
      </c>
      <c r="M462" s="5" t="s">
        <v>482</v>
      </c>
      <c r="N462" s="5" t="s">
        <v>481</v>
      </c>
      <c r="O462" s="5" t="s">
        <v>483</v>
      </c>
      <c r="P462" s="5">
        <v>0</v>
      </c>
      <c r="Q462" s="5">
        <v>23</v>
      </c>
      <c r="R462" s="5">
        <v>0</v>
      </c>
      <c r="S462" s="5" t="s">
        <v>21</v>
      </c>
      <c r="T462" s="5">
        <v>23</v>
      </c>
      <c r="U462" s="24"/>
      <c r="V462" s="5" t="s">
        <v>735</v>
      </c>
    </row>
    <row r="463" spans="1:22" x14ac:dyDescent="0.3">
      <c r="A463" s="5">
        <v>462</v>
      </c>
      <c r="B463" s="5" t="s">
        <v>78</v>
      </c>
      <c r="C463" s="5">
        <v>95111</v>
      </c>
      <c r="D463" s="5" t="str">
        <f>"497-08-025"</f>
        <v>497-08-025</v>
      </c>
      <c r="E463" s="5" t="s">
        <v>842</v>
      </c>
      <c r="F463" s="5" t="s">
        <v>5</v>
      </c>
      <c r="G463" s="22" t="s">
        <v>508</v>
      </c>
      <c r="H463" s="22">
        <v>0</v>
      </c>
      <c r="I463" s="5">
        <v>0</v>
      </c>
      <c r="J463" s="23">
        <v>2.7021147805937402</v>
      </c>
      <c r="K463" s="28" t="s">
        <v>582</v>
      </c>
      <c r="L463" s="5" t="s">
        <v>480</v>
      </c>
      <c r="M463" s="5" t="s">
        <v>482</v>
      </c>
      <c r="N463" s="5" t="s">
        <v>481</v>
      </c>
      <c r="O463" s="5" t="s">
        <v>483</v>
      </c>
      <c r="P463" s="5">
        <v>0</v>
      </c>
      <c r="Q463" s="5">
        <v>176</v>
      </c>
      <c r="R463" s="5">
        <v>0</v>
      </c>
      <c r="S463" s="5" t="s">
        <v>21</v>
      </c>
      <c r="T463" s="5">
        <v>176</v>
      </c>
      <c r="U463" s="24"/>
      <c r="V463" s="5" t="s">
        <v>816</v>
      </c>
    </row>
    <row r="464" spans="1:22" x14ac:dyDescent="0.3">
      <c r="A464" s="5">
        <v>463</v>
      </c>
      <c r="B464" s="5" t="s">
        <v>44</v>
      </c>
      <c r="C464" s="5">
        <v>95116</v>
      </c>
      <c r="D464" s="5" t="str">
        <f>"484-01-026"</f>
        <v>484-01-026</v>
      </c>
      <c r="E464" s="5"/>
      <c r="F464" s="5" t="s">
        <v>9</v>
      </c>
      <c r="G464" s="22" t="s">
        <v>585</v>
      </c>
      <c r="H464" s="22">
        <v>0</v>
      </c>
      <c r="I464" s="5">
        <v>250</v>
      </c>
      <c r="J464" s="23">
        <v>0.72671673034683004</v>
      </c>
      <c r="K464" s="28" t="s">
        <v>576</v>
      </c>
      <c r="L464" s="5" t="s">
        <v>480</v>
      </c>
      <c r="M464" s="5" t="s">
        <v>482</v>
      </c>
      <c r="N464" s="5" t="s">
        <v>481</v>
      </c>
      <c r="O464" s="5" t="s">
        <v>483</v>
      </c>
      <c r="P464" s="5">
        <v>0</v>
      </c>
      <c r="Q464" s="5">
        <v>34</v>
      </c>
      <c r="R464" s="5">
        <v>0</v>
      </c>
      <c r="S464" s="5" t="s">
        <v>21</v>
      </c>
      <c r="T464" s="5">
        <v>34</v>
      </c>
      <c r="U464" s="24"/>
      <c r="V464" s="5" t="s">
        <v>605</v>
      </c>
    </row>
    <row r="465" spans="1:22" x14ac:dyDescent="0.3">
      <c r="A465" s="5">
        <v>464</v>
      </c>
      <c r="B465" s="5" t="s">
        <v>252</v>
      </c>
      <c r="C465" s="5">
        <v>95110</v>
      </c>
      <c r="D465" s="5" t="str">
        <f>"259-46-067"</f>
        <v>259-46-067</v>
      </c>
      <c r="E465" s="5" t="s">
        <v>531</v>
      </c>
      <c r="F465" s="5" t="s">
        <v>20</v>
      </c>
      <c r="G465" s="22" t="s">
        <v>584</v>
      </c>
      <c r="H465" s="22">
        <v>0</v>
      </c>
      <c r="I465" s="5">
        <v>800</v>
      </c>
      <c r="J465" s="23">
        <v>0.102142402574948</v>
      </c>
      <c r="K465" s="28" t="s">
        <v>576</v>
      </c>
      <c r="L465" s="5" t="s">
        <v>480</v>
      </c>
      <c r="M465" s="5" t="s">
        <v>482</v>
      </c>
      <c r="N465" s="5" t="s">
        <v>481</v>
      </c>
      <c r="O465" s="5" t="s">
        <v>483</v>
      </c>
      <c r="P465" s="5">
        <v>0</v>
      </c>
      <c r="Q465" s="5">
        <v>13</v>
      </c>
      <c r="R465" s="5">
        <v>0</v>
      </c>
      <c r="S465" s="5" t="s">
        <v>21</v>
      </c>
      <c r="T465" s="5">
        <v>13</v>
      </c>
      <c r="U465" s="24"/>
      <c r="V465" s="5" t="s">
        <v>738</v>
      </c>
    </row>
    <row r="466" spans="1:22" x14ac:dyDescent="0.3">
      <c r="A466" s="5">
        <v>465</v>
      </c>
      <c r="B466" s="5" t="s">
        <v>281</v>
      </c>
      <c r="C466" s="5">
        <v>95110</v>
      </c>
      <c r="D466" s="5" t="str">
        <f>"259-47-047"</f>
        <v>259-47-047</v>
      </c>
      <c r="E466" s="5" t="s">
        <v>536</v>
      </c>
      <c r="F466" s="5" t="s">
        <v>20</v>
      </c>
      <c r="G466" s="22" t="s">
        <v>584</v>
      </c>
      <c r="H466" s="22">
        <v>0</v>
      </c>
      <c r="I466" s="5">
        <v>350</v>
      </c>
      <c r="J466" s="23">
        <v>7.1983635764693896E-2</v>
      </c>
      <c r="K466" s="28" t="s">
        <v>581</v>
      </c>
      <c r="L466" s="5" t="s">
        <v>480</v>
      </c>
      <c r="M466" s="5" t="s">
        <v>482</v>
      </c>
      <c r="N466" s="5" t="s">
        <v>481</v>
      </c>
      <c r="O466" s="5" t="s">
        <v>483</v>
      </c>
      <c r="P466" s="5">
        <v>0</v>
      </c>
      <c r="Q466" s="5">
        <v>10</v>
      </c>
      <c r="R466" s="5">
        <v>0</v>
      </c>
      <c r="S466" s="5" t="s">
        <v>21</v>
      </c>
      <c r="T466" s="5">
        <v>10</v>
      </c>
      <c r="U466" s="24"/>
      <c r="V466" s="5" t="s">
        <v>747</v>
      </c>
    </row>
    <row r="467" spans="1:22" x14ac:dyDescent="0.3">
      <c r="A467" s="5">
        <v>466</v>
      </c>
      <c r="B467" s="5" t="s">
        <v>78</v>
      </c>
      <c r="C467" s="5">
        <v>95002</v>
      </c>
      <c r="D467" s="5" t="str">
        <f>"015-04-015"</f>
        <v>015-04-015</v>
      </c>
      <c r="E467" s="5"/>
      <c r="F467" s="5" t="s">
        <v>33</v>
      </c>
      <c r="G467" s="22" t="s">
        <v>34</v>
      </c>
      <c r="H467" s="22">
        <v>0</v>
      </c>
      <c r="I467" s="5">
        <v>30</v>
      </c>
      <c r="J467" s="23">
        <v>1.0857782509885601</v>
      </c>
      <c r="K467" s="28" t="s">
        <v>577</v>
      </c>
      <c r="L467" s="5" t="s">
        <v>480</v>
      </c>
      <c r="M467" s="5" t="s">
        <v>482</v>
      </c>
      <c r="N467" s="5" t="s">
        <v>481</v>
      </c>
      <c r="O467" s="5" t="s">
        <v>483</v>
      </c>
      <c r="P467" s="5">
        <v>0</v>
      </c>
      <c r="Q467" s="5">
        <v>21</v>
      </c>
      <c r="R467" s="5">
        <v>0</v>
      </c>
      <c r="S467" s="5" t="s">
        <v>21</v>
      </c>
      <c r="T467" s="5">
        <v>21</v>
      </c>
      <c r="U467" s="24"/>
      <c r="V467" s="5" t="s">
        <v>816</v>
      </c>
    </row>
    <row r="468" spans="1:22" x14ac:dyDescent="0.3">
      <c r="A468" s="5">
        <v>467</v>
      </c>
      <c r="B468" s="5" t="s">
        <v>151</v>
      </c>
      <c r="C468" s="5">
        <v>95117</v>
      </c>
      <c r="D468" s="5" t="str">
        <f>"303-26-031"</f>
        <v>303-26-031</v>
      </c>
      <c r="E468" s="5" t="s">
        <v>512</v>
      </c>
      <c r="F468" s="5" t="s">
        <v>9</v>
      </c>
      <c r="G468" s="22" t="s">
        <v>18</v>
      </c>
      <c r="H468" s="22">
        <v>65</v>
      </c>
      <c r="I468" s="5">
        <v>250</v>
      </c>
      <c r="J468" s="23">
        <v>0.27041532880950703</v>
      </c>
      <c r="K468" s="28" t="s">
        <v>576</v>
      </c>
      <c r="L468" s="5" t="s">
        <v>480</v>
      </c>
      <c r="M468" s="5" t="s">
        <v>482</v>
      </c>
      <c r="N468" s="5" t="s">
        <v>481</v>
      </c>
      <c r="O468" s="5" t="s">
        <v>483</v>
      </c>
      <c r="P468" s="5">
        <v>0</v>
      </c>
      <c r="Q468" s="5">
        <v>18</v>
      </c>
      <c r="R468" s="5">
        <v>0</v>
      </c>
      <c r="S468" s="5" t="s">
        <v>21</v>
      </c>
      <c r="T468" s="5">
        <v>18</v>
      </c>
      <c r="U468" s="24"/>
      <c r="V468" s="5" t="s">
        <v>686</v>
      </c>
    </row>
    <row r="469" spans="1:22" x14ac:dyDescent="0.3">
      <c r="A469" s="5">
        <v>468</v>
      </c>
      <c r="B469" s="5" t="s">
        <v>336</v>
      </c>
      <c r="C469" s="5">
        <v>95110</v>
      </c>
      <c r="D469" s="5" t="str">
        <f>"264-26-035"</f>
        <v>264-26-035</v>
      </c>
      <c r="E469" s="5" t="s">
        <v>548</v>
      </c>
      <c r="F469" s="5" t="s">
        <v>20</v>
      </c>
      <c r="G469" s="22" t="s">
        <v>584</v>
      </c>
      <c r="H469" s="22">
        <v>0</v>
      </c>
      <c r="I469" s="5">
        <v>800</v>
      </c>
      <c r="J469" s="23">
        <v>0.119837967446772</v>
      </c>
      <c r="K469" s="28" t="s">
        <v>581</v>
      </c>
      <c r="L469" s="5" t="s">
        <v>480</v>
      </c>
      <c r="M469" s="5" t="s">
        <v>482</v>
      </c>
      <c r="N469" s="5" t="s">
        <v>481</v>
      </c>
      <c r="O469" s="5" t="s">
        <v>483</v>
      </c>
      <c r="P469" s="5">
        <v>0</v>
      </c>
      <c r="Q469" s="5">
        <v>16</v>
      </c>
      <c r="R469" s="5">
        <v>0</v>
      </c>
      <c r="S469" s="5" t="s">
        <v>21</v>
      </c>
      <c r="T469" s="5">
        <v>16</v>
      </c>
      <c r="U469" s="24"/>
      <c r="V469" s="5" t="s">
        <v>596</v>
      </c>
    </row>
    <row r="470" spans="1:22" x14ac:dyDescent="0.3">
      <c r="A470" s="5">
        <v>469</v>
      </c>
      <c r="B470" s="5" t="s">
        <v>148</v>
      </c>
      <c r="C470" s="5">
        <v>95117</v>
      </c>
      <c r="D470" s="5" t="str">
        <f>"303-25-046"</f>
        <v>303-25-046</v>
      </c>
      <c r="E470" s="5" t="s">
        <v>511</v>
      </c>
      <c r="F470" s="5" t="s">
        <v>9</v>
      </c>
      <c r="G470" s="22" t="s">
        <v>18</v>
      </c>
      <c r="H470" s="22">
        <v>65</v>
      </c>
      <c r="I470" s="5">
        <v>250</v>
      </c>
      <c r="J470" s="23">
        <v>0.25613701831409902</v>
      </c>
      <c r="K470" s="28" t="s">
        <v>576</v>
      </c>
      <c r="L470" s="5" t="s">
        <v>480</v>
      </c>
      <c r="M470" s="5" t="s">
        <v>482</v>
      </c>
      <c r="N470" s="5" t="s">
        <v>481</v>
      </c>
      <c r="O470" s="5" t="s">
        <v>483</v>
      </c>
      <c r="P470" s="5">
        <v>0</v>
      </c>
      <c r="Q470" s="5">
        <v>17</v>
      </c>
      <c r="R470" s="5">
        <v>0</v>
      </c>
      <c r="S470" s="5" t="s">
        <v>21</v>
      </c>
      <c r="T470" s="5">
        <v>17</v>
      </c>
      <c r="U470" s="24"/>
      <c r="V470" s="5" t="s">
        <v>683</v>
      </c>
    </row>
    <row r="471" spans="1:22" x14ac:dyDescent="0.3">
      <c r="A471" s="5">
        <v>470</v>
      </c>
      <c r="B471" s="5" t="s">
        <v>276</v>
      </c>
      <c r="C471" s="5">
        <v>95110</v>
      </c>
      <c r="D471" s="5" t="str">
        <f>"259-47-054"</f>
        <v>259-47-054</v>
      </c>
      <c r="E471" s="5"/>
      <c r="F471" s="5" t="s">
        <v>20</v>
      </c>
      <c r="G471" s="22" t="s">
        <v>584</v>
      </c>
      <c r="H471" s="22">
        <v>0</v>
      </c>
      <c r="I471" s="5">
        <v>800</v>
      </c>
      <c r="J471" s="23">
        <v>0.113424556175794</v>
      </c>
      <c r="K471" s="28" t="s">
        <v>581</v>
      </c>
      <c r="L471" s="5" t="s">
        <v>480</v>
      </c>
      <c r="M471" s="5" t="s">
        <v>482</v>
      </c>
      <c r="N471" s="5" t="s">
        <v>481</v>
      </c>
      <c r="O471" s="5" t="s">
        <v>483</v>
      </c>
      <c r="P471" s="5">
        <v>0</v>
      </c>
      <c r="Q471" s="5">
        <v>14</v>
      </c>
      <c r="R471" s="5">
        <v>0</v>
      </c>
      <c r="S471" s="5" t="s">
        <v>21</v>
      </c>
      <c r="T471" s="5">
        <v>14</v>
      </c>
      <c r="U471" s="24"/>
      <c r="V471" s="5" t="s">
        <v>660</v>
      </c>
    </row>
    <row r="472" spans="1:22" x14ac:dyDescent="0.3">
      <c r="A472" s="5">
        <v>471</v>
      </c>
      <c r="B472" s="5" t="s">
        <v>362</v>
      </c>
      <c r="C472" s="5">
        <v>95112</v>
      </c>
      <c r="D472" s="5" t="str">
        <f>"467-20-059"</f>
        <v>467-20-059</v>
      </c>
      <c r="E472" s="5" t="s">
        <v>555</v>
      </c>
      <c r="F472" s="5" t="s">
        <v>20</v>
      </c>
      <c r="G472" s="22" t="s">
        <v>584</v>
      </c>
      <c r="H472" s="22">
        <v>0</v>
      </c>
      <c r="I472" s="5">
        <v>800</v>
      </c>
      <c r="J472" s="23">
        <v>0.164321309345554</v>
      </c>
      <c r="K472" s="28" t="s">
        <v>576</v>
      </c>
      <c r="L472" s="5" t="s">
        <v>480</v>
      </c>
      <c r="M472" s="5" t="s">
        <v>482</v>
      </c>
      <c r="N472" s="5" t="s">
        <v>481</v>
      </c>
      <c r="O472" s="5" t="s">
        <v>483</v>
      </c>
      <c r="P472" s="5">
        <v>0</v>
      </c>
      <c r="Q472" s="5">
        <v>21</v>
      </c>
      <c r="R472" s="5">
        <v>0</v>
      </c>
      <c r="S472" s="5" t="s">
        <v>21</v>
      </c>
      <c r="T472" s="5">
        <v>21</v>
      </c>
      <c r="U472" s="24"/>
      <c r="V472" s="5" t="s">
        <v>650</v>
      </c>
    </row>
    <row r="473" spans="1:22" x14ac:dyDescent="0.3">
      <c r="A473" s="5">
        <v>472</v>
      </c>
      <c r="B473" s="5" t="s">
        <v>78</v>
      </c>
      <c r="C473" s="5">
        <v>95125</v>
      </c>
      <c r="D473" s="5" t="str">
        <f>"456-10-019"</f>
        <v>456-10-019</v>
      </c>
      <c r="E473" s="5" t="s">
        <v>543</v>
      </c>
      <c r="F473" s="5" t="s">
        <v>50</v>
      </c>
      <c r="G473" s="22" t="s">
        <v>96</v>
      </c>
      <c r="H473" s="22">
        <v>30</v>
      </c>
      <c r="I473" s="5">
        <v>95</v>
      </c>
      <c r="J473" s="23">
        <v>0.60301892268509605</v>
      </c>
      <c r="K473" s="28" t="s">
        <v>580</v>
      </c>
      <c r="L473" s="5" t="s">
        <v>480</v>
      </c>
      <c r="M473" s="5" t="s">
        <v>482</v>
      </c>
      <c r="N473" s="5" t="s">
        <v>481</v>
      </c>
      <c r="O473" s="5" t="s">
        <v>483</v>
      </c>
      <c r="P473" s="25">
        <v>0</v>
      </c>
      <c r="Q473" s="5">
        <v>39</v>
      </c>
      <c r="R473" s="5">
        <v>0</v>
      </c>
      <c r="S473" s="5" t="s">
        <v>21</v>
      </c>
      <c r="T473" s="5">
        <v>39</v>
      </c>
      <c r="U473" s="24"/>
      <c r="V473" s="5" t="s">
        <v>811</v>
      </c>
    </row>
    <row r="474" spans="1:22" x14ac:dyDescent="0.3">
      <c r="A474" s="5">
        <v>473</v>
      </c>
      <c r="B474" s="5" t="s">
        <v>253</v>
      </c>
      <c r="C474" s="5">
        <v>95110</v>
      </c>
      <c r="D474" s="5" t="str">
        <f>"259-46-068"</f>
        <v>259-46-068</v>
      </c>
      <c r="E474" s="5" t="s">
        <v>531</v>
      </c>
      <c r="F474" s="5" t="s">
        <v>20</v>
      </c>
      <c r="G474" s="22" t="s">
        <v>584</v>
      </c>
      <c r="H474" s="22">
        <v>0</v>
      </c>
      <c r="I474" s="5">
        <v>800</v>
      </c>
      <c r="J474" s="23">
        <v>8.7567037731032096E-2</v>
      </c>
      <c r="K474" s="28" t="s">
        <v>576</v>
      </c>
      <c r="L474" s="5" t="s">
        <v>480</v>
      </c>
      <c r="M474" s="5" t="s">
        <v>482</v>
      </c>
      <c r="N474" s="5" t="s">
        <v>481</v>
      </c>
      <c r="O474" s="5" t="s">
        <v>483</v>
      </c>
      <c r="P474" s="5">
        <v>0</v>
      </c>
      <c r="Q474" s="5">
        <v>12</v>
      </c>
      <c r="R474" s="5">
        <v>0</v>
      </c>
      <c r="S474" s="5" t="s">
        <v>21</v>
      </c>
      <c r="T474" s="5">
        <v>12</v>
      </c>
      <c r="U474" s="24"/>
      <c r="V474" s="5" t="s">
        <v>739</v>
      </c>
    </row>
    <row r="475" spans="1:22" x14ac:dyDescent="0.3">
      <c r="A475" s="5">
        <v>474</v>
      </c>
      <c r="B475" s="5" t="s">
        <v>409</v>
      </c>
      <c r="C475" s="5">
        <v>95111</v>
      </c>
      <c r="D475" s="5" t="str">
        <f>"497-08-020"</f>
        <v>497-08-020</v>
      </c>
      <c r="E475" s="5" t="s">
        <v>842</v>
      </c>
      <c r="F475" s="5" t="s">
        <v>5</v>
      </c>
      <c r="G475" s="22" t="s">
        <v>508</v>
      </c>
      <c r="H475" s="22">
        <v>0</v>
      </c>
      <c r="I475" s="5">
        <v>0</v>
      </c>
      <c r="J475" s="23">
        <v>0.47813921165329099</v>
      </c>
      <c r="K475" s="28" t="s">
        <v>582</v>
      </c>
      <c r="L475" s="5" t="s">
        <v>480</v>
      </c>
      <c r="M475" s="5" t="s">
        <v>482</v>
      </c>
      <c r="N475" s="5" t="s">
        <v>481</v>
      </c>
      <c r="O475" s="5" t="s">
        <v>483</v>
      </c>
      <c r="P475" s="5">
        <v>0</v>
      </c>
      <c r="Q475" s="5">
        <v>31</v>
      </c>
      <c r="R475" s="5">
        <v>0</v>
      </c>
      <c r="S475" s="5" t="s">
        <v>21</v>
      </c>
      <c r="T475" s="5">
        <v>31</v>
      </c>
      <c r="U475" s="24"/>
      <c r="V475" s="5" t="s">
        <v>835</v>
      </c>
    </row>
    <row r="476" spans="1:22" x14ac:dyDescent="0.3">
      <c r="A476" s="5">
        <v>475</v>
      </c>
      <c r="B476" s="5" t="s">
        <v>392</v>
      </c>
      <c r="C476" s="5">
        <v>95116</v>
      </c>
      <c r="D476" s="5" t="str">
        <f>"481-09-026"</f>
        <v>481-09-026</v>
      </c>
      <c r="E476" s="5"/>
      <c r="F476" s="5" t="s">
        <v>9</v>
      </c>
      <c r="G476" s="22" t="s">
        <v>585</v>
      </c>
      <c r="H476" s="22">
        <v>0</v>
      </c>
      <c r="I476" s="5">
        <v>250</v>
      </c>
      <c r="J476" s="23">
        <v>0.52912422353147304</v>
      </c>
      <c r="K476" s="22" t="s">
        <v>576</v>
      </c>
      <c r="L476" s="5" t="s">
        <v>480</v>
      </c>
      <c r="M476" s="5" t="s">
        <v>482</v>
      </c>
      <c r="N476" s="5" t="s">
        <v>481</v>
      </c>
      <c r="O476" s="5" t="s">
        <v>483</v>
      </c>
      <c r="P476" s="5">
        <v>0</v>
      </c>
      <c r="Q476" s="5">
        <v>24</v>
      </c>
      <c r="R476" s="5">
        <v>0</v>
      </c>
      <c r="S476" s="5" t="s">
        <v>21</v>
      </c>
      <c r="T476" s="5">
        <v>24</v>
      </c>
      <c r="U476" s="24"/>
      <c r="V476" s="5" t="s">
        <v>841</v>
      </c>
    </row>
    <row r="477" spans="1:22" x14ac:dyDescent="0.3">
      <c r="A477" s="5">
        <v>476</v>
      </c>
      <c r="B477" s="5" t="s">
        <v>363</v>
      </c>
      <c r="C477" s="5">
        <v>95112</v>
      </c>
      <c r="D477" s="5" t="str">
        <f>"467-20-041"</f>
        <v>467-20-041</v>
      </c>
      <c r="E477" s="5" t="s">
        <v>555</v>
      </c>
      <c r="F477" s="5" t="s">
        <v>20</v>
      </c>
      <c r="G477" s="22" t="s">
        <v>584</v>
      </c>
      <c r="H477" s="22">
        <v>0</v>
      </c>
      <c r="I477" s="5">
        <v>800</v>
      </c>
      <c r="J477" s="23">
        <v>0.43512187941203401</v>
      </c>
      <c r="K477" s="22" t="s">
        <v>576</v>
      </c>
      <c r="L477" s="5" t="s">
        <v>480</v>
      </c>
      <c r="M477" s="5" t="s">
        <v>482</v>
      </c>
      <c r="N477" s="5" t="s">
        <v>481</v>
      </c>
      <c r="O477" s="5" t="s">
        <v>483</v>
      </c>
      <c r="P477" s="5">
        <v>0</v>
      </c>
      <c r="Q477" s="5">
        <v>55</v>
      </c>
      <c r="R477" s="5">
        <v>0</v>
      </c>
      <c r="S477" s="5" t="s">
        <v>21</v>
      </c>
      <c r="T477" s="5">
        <v>55</v>
      </c>
      <c r="U477" s="24"/>
      <c r="V477" s="5" t="s">
        <v>660</v>
      </c>
    </row>
    <row r="478" spans="1:22" x14ac:dyDescent="0.3">
      <c r="A478" s="5">
        <v>477</v>
      </c>
      <c r="B478" s="5" t="s">
        <v>78</v>
      </c>
      <c r="C478" s="5">
        <v>95113</v>
      </c>
      <c r="D478" s="5" t="str">
        <f>"467-46-015"</f>
        <v>467-46-015</v>
      </c>
      <c r="E478" s="5" t="s">
        <v>557</v>
      </c>
      <c r="F478" s="5" t="s">
        <v>20</v>
      </c>
      <c r="G478" s="22" t="s">
        <v>584</v>
      </c>
      <c r="H478" s="22">
        <v>0</v>
      </c>
      <c r="I478" s="5">
        <v>800</v>
      </c>
      <c r="J478" s="23">
        <v>0.16023455442474099</v>
      </c>
      <c r="K478" s="22" t="s">
        <v>577</v>
      </c>
      <c r="L478" s="5" t="s">
        <v>480</v>
      </c>
      <c r="M478" s="5" t="s">
        <v>482</v>
      </c>
      <c r="N478" s="5" t="s">
        <v>481</v>
      </c>
      <c r="O478" s="5" t="s">
        <v>483</v>
      </c>
      <c r="P478" s="5">
        <v>0</v>
      </c>
      <c r="Q478" s="5">
        <v>18</v>
      </c>
      <c r="R478" s="5">
        <v>0</v>
      </c>
      <c r="S478" s="5" t="s">
        <v>21</v>
      </c>
      <c r="T478" s="5">
        <v>18</v>
      </c>
      <c r="U478" s="24"/>
      <c r="V478" s="5" t="s">
        <v>610</v>
      </c>
    </row>
    <row r="479" spans="1:22" x14ac:dyDescent="0.3">
      <c r="A479" s="5">
        <v>478</v>
      </c>
      <c r="B479" s="5" t="s">
        <v>235</v>
      </c>
      <c r="C479" s="5">
        <v>95110</v>
      </c>
      <c r="D479" s="5" t="str">
        <f>"259-22-041"</f>
        <v>259-22-041</v>
      </c>
      <c r="E479" s="5"/>
      <c r="F479" s="5" t="s">
        <v>20</v>
      </c>
      <c r="G479" s="22" t="s">
        <v>584</v>
      </c>
      <c r="H479" s="22">
        <v>0</v>
      </c>
      <c r="I479" s="5">
        <v>0</v>
      </c>
      <c r="J479" s="23">
        <v>0.18130552009491299</v>
      </c>
      <c r="K479" s="22" t="s">
        <v>580</v>
      </c>
      <c r="L479" s="5" t="s">
        <v>480</v>
      </c>
      <c r="M479" s="5" t="s">
        <v>482</v>
      </c>
      <c r="N479" s="5" t="s">
        <v>481</v>
      </c>
      <c r="O479" s="5" t="s">
        <v>483</v>
      </c>
      <c r="P479" s="5">
        <v>0</v>
      </c>
      <c r="Q479" s="5">
        <v>28</v>
      </c>
      <c r="R479" s="5">
        <v>0</v>
      </c>
      <c r="S479" s="5" t="s">
        <v>21</v>
      </c>
      <c r="T479" s="5">
        <v>28</v>
      </c>
      <c r="U479" s="24"/>
      <c r="V479" s="5" t="s">
        <v>831</v>
      </c>
    </row>
    <row r="480" spans="1:22" x14ac:dyDescent="0.3">
      <c r="A480" s="5">
        <v>479</v>
      </c>
      <c r="B480" s="5" t="s">
        <v>240</v>
      </c>
      <c r="C480" s="5">
        <v>95110</v>
      </c>
      <c r="D480" s="5" t="str">
        <f>"259-25-021"</f>
        <v>259-25-021</v>
      </c>
      <c r="E480" s="5"/>
      <c r="F480" s="5" t="s">
        <v>20</v>
      </c>
      <c r="G480" s="22" t="s">
        <v>584</v>
      </c>
      <c r="H480" s="22">
        <v>0</v>
      </c>
      <c r="I480" s="5">
        <v>800</v>
      </c>
      <c r="J480" s="23">
        <v>0.162786972542</v>
      </c>
      <c r="K480" s="22" t="s">
        <v>580</v>
      </c>
      <c r="L480" s="5" t="s">
        <v>480</v>
      </c>
      <c r="M480" s="5" t="s">
        <v>482</v>
      </c>
      <c r="N480" s="5" t="s">
        <v>481</v>
      </c>
      <c r="O480" s="5" t="s">
        <v>483</v>
      </c>
      <c r="P480" s="5">
        <v>0</v>
      </c>
      <c r="Q480" s="5">
        <v>23</v>
      </c>
      <c r="R480" s="5">
        <v>0</v>
      </c>
      <c r="S480" s="5" t="s">
        <v>21</v>
      </c>
      <c r="T480" s="5">
        <v>23</v>
      </c>
      <c r="U480" s="24"/>
      <c r="V480" s="5" t="s">
        <v>733</v>
      </c>
    </row>
    <row r="481" spans="1:22" x14ac:dyDescent="0.3">
      <c r="A481" s="5">
        <v>480</v>
      </c>
      <c r="B481" s="5" t="s">
        <v>264</v>
      </c>
      <c r="C481" s="5">
        <v>95110</v>
      </c>
      <c r="D481" s="5" t="str">
        <f>"259-46-085"</f>
        <v>259-46-085</v>
      </c>
      <c r="E481" s="5" t="s">
        <v>533</v>
      </c>
      <c r="F481" s="5" t="s">
        <v>20</v>
      </c>
      <c r="G481" s="22" t="s">
        <v>584</v>
      </c>
      <c r="H481" s="22">
        <v>0</v>
      </c>
      <c r="I481" s="5">
        <v>800</v>
      </c>
      <c r="J481" s="23">
        <v>0.119888197161187</v>
      </c>
      <c r="K481" s="22" t="s">
        <v>582</v>
      </c>
      <c r="L481" s="5" t="s">
        <v>480</v>
      </c>
      <c r="M481" s="5" t="s">
        <v>482</v>
      </c>
      <c r="N481" s="5" t="s">
        <v>481</v>
      </c>
      <c r="O481" s="5" t="s">
        <v>483</v>
      </c>
      <c r="P481" s="5">
        <v>0</v>
      </c>
      <c r="Q481" s="5">
        <v>15</v>
      </c>
      <c r="R481" s="5">
        <v>0</v>
      </c>
      <c r="S481" s="5" t="s">
        <v>21</v>
      </c>
      <c r="T481" s="5">
        <v>15</v>
      </c>
      <c r="U481" s="24"/>
      <c r="V481" s="5" t="s">
        <v>582</v>
      </c>
    </row>
    <row r="482" spans="1:22" x14ac:dyDescent="0.3">
      <c r="A482" s="5">
        <v>481</v>
      </c>
      <c r="B482" s="5" t="s">
        <v>338</v>
      </c>
      <c r="C482" s="5">
        <v>95110</v>
      </c>
      <c r="D482" s="5" t="str">
        <f>"264-26-037"</f>
        <v>264-26-037</v>
      </c>
      <c r="E482" s="5" t="s">
        <v>548</v>
      </c>
      <c r="F482" s="5" t="s">
        <v>20</v>
      </c>
      <c r="G482" s="22" t="s">
        <v>584</v>
      </c>
      <c r="H482" s="22">
        <v>0</v>
      </c>
      <c r="I482" s="5">
        <v>350</v>
      </c>
      <c r="J482" s="23">
        <v>5.3694065133450902E-2</v>
      </c>
      <c r="K482" s="22" t="s">
        <v>576</v>
      </c>
      <c r="L482" s="5" t="s">
        <v>480</v>
      </c>
      <c r="M482" s="5" t="s">
        <v>482</v>
      </c>
      <c r="N482" s="5" t="s">
        <v>481</v>
      </c>
      <c r="O482" s="5" t="s">
        <v>483</v>
      </c>
      <c r="P482" s="5">
        <v>0</v>
      </c>
      <c r="Q482" s="5">
        <v>7</v>
      </c>
      <c r="R482" s="5">
        <v>0</v>
      </c>
      <c r="S482" s="5" t="s">
        <v>21</v>
      </c>
      <c r="T482" s="5">
        <v>7</v>
      </c>
      <c r="U482" s="24"/>
      <c r="V482" s="5" t="s">
        <v>775</v>
      </c>
    </row>
    <row r="483" spans="1:22" x14ac:dyDescent="0.3">
      <c r="A483" s="5">
        <v>482</v>
      </c>
      <c r="B483" s="5" t="s">
        <v>324</v>
      </c>
      <c r="C483" s="5">
        <v>95126</v>
      </c>
      <c r="D483" s="5" t="str">
        <f>"264-20-068"</f>
        <v>264-20-068</v>
      </c>
      <c r="E483" s="5" t="s">
        <v>546</v>
      </c>
      <c r="F483" s="5" t="s">
        <v>20</v>
      </c>
      <c r="G483" s="22" t="s">
        <v>584</v>
      </c>
      <c r="H483" s="22">
        <v>0</v>
      </c>
      <c r="I483" s="5">
        <v>800</v>
      </c>
      <c r="J483" s="23">
        <v>0.115916767520384</v>
      </c>
      <c r="K483" s="22" t="s">
        <v>581</v>
      </c>
      <c r="L483" s="5" t="s">
        <v>480</v>
      </c>
      <c r="M483" s="5" t="s">
        <v>482</v>
      </c>
      <c r="N483" s="5" t="s">
        <v>481</v>
      </c>
      <c r="O483" s="5" t="s">
        <v>483</v>
      </c>
      <c r="P483" s="5">
        <v>0</v>
      </c>
      <c r="Q483" s="5">
        <v>18</v>
      </c>
      <c r="R483" s="5">
        <v>0</v>
      </c>
      <c r="S483" s="5" t="s">
        <v>21</v>
      </c>
      <c r="T483" s="5">
        <v>18</v>
      </c>
      <c r="U483" s="24"/>
      <c r="V483" s="5" t="s">
        <v>660</v>
      </c>
    </row>
    <row r="484" spans="1:22" x14ac:dyDescent="0.3">
      <c r="A484" s="5">
        <v>483</v>
      </c>
      <c r="B484" s="5" t="s">
        <v>280</v>
      </c>
      <c r="C484" s="5">
        <v>95110</v>
      </c>
      <c r="D484" s="5" t="str">
        <f>"259-47-046"</f>
        <v>259-47-046</v>
      </c>
      <c r="E484" s="5" t="s">
        <v>536</v>
      </c>
      <c r="F484" s="5" t="s">
        <v>20</v>
      </c>
      <c r="G484" s="22" t="s">
        <v>584</v>
      </c>
      <c r="H484" s="22">
        <v>0</v>
      </c>
      <c r="I484" s="5">
        <v>800</v>
      </c>
      <c r="J484" s="23">
        <v>9.30080880594326E-2</v>
      </c>
      <c r="K484" s="22" t="s">
        <v>581</v>
      </c>
      <c r="L484" s="5" t="s">
        <v>480</v>
      </c>
      <c r="M484" s="5" t="s">
        <v>482</v>
      </c>
      <c r="N484" s="5" t="s">
        <v>481</v>
      </c>
      <c r="O484" s="5" t="s">
        <v>483</v>
      </c>
      <c r="P484" s="5">
        <v>0</v>
      </c>
      <c r="Q484" s="5">
        <v>14</v>
      </c>
      <c r="R484" s="5">
        <v>0</v>
      </c>
      <c r="S484" s="5" t="s">
        <v>21</v>
      </c>
      <c r="T484" s="5">
        <v>14</v>
      </c>
      <c r="U484" s="24"/>
      <c r="V484" s="5" t="s">
        <v>746</v>
      </c>
    </row>
    <row r="485" spans="1:22" x14ac:dyDescent="0.3">
      <c r="A485" s="5">
        <v>484</v>
      </c>
      <c r="B485" s="5" t="s">
        <v>327</v>
      </c>
      <c r="C485" s="5">
        <v>95126</v>
      </c>
      <c r="D485" s="5" t="str">
        <f>"264-20-110"</f>
        <v>264-20-110</v>
      </c>
      <c r="E485" s="5" t="s">
        <v>547</v>
      </c>
      <c r="F485" s="5" t="s">
        <v>20</v>
      </c>
      <c r="G485" s="22" t="s">
        <v>584</v>
      </c>
      <c r="H485" s="22">
        <v>0</v>
      </c>
      <c r="I485" s="5">
        <v>800</v>
      </c>
      <c r="J485" s="23">
        <v>0.115352867645641</v>
      </c>
      <c r="K485" s="22" t="s">
        <v>581</v>
      </c>
      <c r="L485" s="5" t="s">
        <v>480</v>
      </c>
      <c r="M485" s="5" t="s">
        <v>482</v>
      </c>
      <c r="N485" s="5" t="s">
        <v>481</v>
      </c>
      <c r="O485" s="5" t="s">
        <v>483</v>
      </c>
      <c r="P485" s="5">
        <v>0</v>
      </c>
      <c r="Q485" s="5">
        <v>16</v>
      </c>
      <c r="R485" s="5">
        <v>0</v>
      </c>
      <c r="S485" s="5" t="s">
        <v>21</v>
      </c>
      <c r="T485" s="5">
        <v>16</v>
      </c>
      <c r="U485" s="24"/>
      <c r="V485" s="5" t="s">
        <v>768</v>
      </c>
    </row>
  </sheetData>
  <sortState xmlns:xlrd2="http://schemas.microsoft.com/office/spreadsheetml/2017/richdata2" ref="A2:V485">
    <sortCondition ref="A2:A48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400B9-2995-4221-8FC8-3A6573B5FDAA}">
  <dimension ref="A1:U34"/>
  <sheetViews>
    <sheetView workbookViewId="0">
      <selection activeCell="S40" sqref="S40"/>
    </sheetView>
  </sheetViews>
  <sheetFormatPr defaultRowHeight="14.4" x14ac:dyDescent="0.3"/>
  <cols>
    <col min="1" max="1" width="10.5546875" customWidth="1"/>
    <col min="2" max="2" width="44.109375" bestFit="1" customWidth="1"/>
    <col min="4" max="4" width="13" bestFit="1" customWidth="1"/>
    <col min="5" max="6" width="8.88671875" customWidth="1"/>
    <col min="7" max="7" width="15" customWidth="1"/>
    <col min="8" max="8" width="12.33203125" customWidth="1"/>
    <col min="9" max="9" width="17.6640625" customWidth="1"/>
    <col min="10" max="10" width="9" customWidth="1"/>
    <col min="11" max="11" width="28.6640625" customWidth="1"/>
    <col min="12" max="12" width="40.109375" bestFit="1" customWidth="1"/>
    <col min="13" max="13" width="48.88671875" bestFit="1" customWidth="1"/>
    <col min="15" max="17" width="13" customWidth="1"/>
    <col min="18" max="18" width="11.6640625" bestFit="1" customWidth="1"/>
    <col min="19" max="19" width="96.44140625" bestFit="1" customWidth="1"/>
    <col min="20" max="20" width="14.88671875" bestFit="1" customWidth="1"/>
  </cols>
  <sheetData>
    <row r="1" spans="1:21" x14ac:dyDescent="0.3">
      <c r="A1" t="s">
        <v>848</v>
      </c>
    </row>
    <row r="2" spans="1:21" ht="62.4" x14ac:dyDescent="0.3">
      <c r="A2" s="9" t="s">
        <v>849</v>
      </c>
      <c r="B2" s="10" t="s">
        <v>850</v>
      </c>
      <c r="C2" s="11" t="s">
        <v>851</v>
      </c>
      <c r="D2" s="11" t="s">
        <v>852</v>
      </c>
      <c r="E2" s="10" t="s">
        <v>853</v>
      </c>
      <c r="F2" s="10" t="s">
        <v>854</v>
      </c>
      <c r="G2" s="10" t="s">
        <v>855</v>
      </c>
      <c r="H2" s="10" t="s">
        <v>856</v>
      </c>
      <c r="I2" s="10" t="s">
        <v>857</v>
      </c>
      <c r="J2" s="10" t="s">
        <v>858</v>
      </c>
      <c r="K2" s="10" t="s">
        <v>859</v>
      </c>
      <c r="L2" s="10" t="s">
        <v>860</v>
      </c>
      <c r="M2" s="10" t="s">
        <v>861</v>
      </c>
      <c r="N2" s="10" t="s">
        <v>862</v>
      </c>
      <c r="O2" s="10" t="s">
        <v>863</v>
      </c>
      <c r="P2" s="10" t="s">
        <v>864</v>
      </c>
      <c r="Q2" s="10" t="s">
        <v>456</v>
      </c>
      <c r="R2" s="10" t="s">
        <v>865</v>
      </c>
      <c r="S2" s="12" t="s">
        <v>866</v>
      </c>
      <c r="T2" s="13" t="s">
        <v>448</v>
      </c>
      <c r="U2" s="13" t="s">
        <v>826</v>
      </c>
    </row>
    <row r="3" spans="1:21" ht="15.6" x14ac:dyDescent="0.3">
      <c r="A3" t="s">
        <v>867</v>
      </c>
      <c r="B3" s="6" t="s">
        <v>78</v>
      </c>
      <c r="C3" s="14">
        <v>95134</v>
      </c>
      <c r="D3" s="14" t="s">
        <v>460</v>
      </c>
      <c r="E3" s="6">
        <v>0</v>
      </c>
      <c r="F3" s="6">
        <v>307</v>
      </c>
      <c r="G3" s="6">
        <v>0</v>
      </c>
      <c r="H3" s="6">
        <v>0</v>
      </c>
      <c r="I3" s="6" t="s">
        <v>868</v>
      </c>
      <c r="J3" s="6">
        <v>4.0999999999999996</v>
      </c>
      <c r="K3" s="6" t="s">
        <v>46</v>
      </c>
      <c r="L3" s="6" t="s">
        <v>46</v>
      </c>
      <c r="M3" s="6" t="s">
        <v>869</v>
      </c>
      <c r="N3" s="6" t="s">
        <v>934</v>
      </c>
      <c r="O3" s="6">
        <v>75</v>
      </c>
      <c r="P3" s="6">
        <v>250</v>
      </c>
      <c r="Q3" s="6">
        <v>307</v>
      </c>
      <c r="R3" s="6" t="s">
        <v>577</v>
      </c>
      <c r="S3" s="15" t="s">
        <v>577</v>
      </c>
      <c r="T3" s="16" t="s">
        <v>480</v>
      </c>
      <c r="U3" s="16"/>
    </row>
    <row r="4" spans="1:21" ht="15.6" x14ac:dyDescent="0.3">
      <c r="A4" t="s">
        <v>867</v>
      </c>
      <c r="B4" s="7" t="s">
        <v>78</v>
      </c>
      <c r="C4" s="17">
        <v>95134</v>
      </c>
      <c r="D4" s="17" t="s">
        <v>462</v>
      </c>
      <c r="E4" s="7">
        <v>0</v>
      </c>
      <c r="F4" s="7">
        <v>259</v>
      </c>
      <c r="G4" s="7">
        <v>0</v>
      </c>
      <c r="H4" s="7">
        <v>0</v>
      </c>
      <c r="I4" s="7" t="s">
        <v>868</v>
      </c>
      <c r="J4" s="7">
        <v>3.45</v>
      </c>
      <c r="K4" s="7" t="s">
        <v>46</v>
      </c>
      <c r="L4" s="7" t="s">
        <v>870</v>
      </c>
      <c r="M4" s="7" t="s">
        <v>869</v>
      </c>
      <c r="N4" s="6" t="s">
        <v>934</v>
      </c>
      <c r="O4" s="7">
        <v>75</v>
      </c>
      <c r="P4" s="7">
        <v>250</v>
      </c>
      <c r="Q4" s="7">
        <v>259</v>
      </c>
      <c r="R4" s="7" t="s">
        <v>577</v>
      </c>
      <c r="S4" s="18" t="s">
        <v>577</v>
      </c>
      <c r="T4" s="19" t="s">
        <v>480</v>
      </c>
      <c r="U4" s="20"/>
    </row>
    <row r="5" spans="1:21" ht="15.6" x14ac:dyDescent="0.3">
      <c r="A5" t="s">
        <v>867</v>
      </c>
      <c r="B5" s="7" t="s">
        <v>872</v>
      </c>
      <c r="C5" s="17">
        <v>95134</v>
      </c>
      <c r="D5" s="17" t="s">
        <v>465</v>
      </c>
      <c r="E5" s="7">
        <v>0</v>
      </c>
      <c r="F5" s="7">
        <v>335</v>
      </c>
      <c r="G5" s="7">
        <v>0</v>
      </c>
      <c r="H5" s="7">
        <v>0</v>
      </c>
      <c r="I5" s="7" t="s">
        <v>868</v>
      </c>
      <c r="J5" s="7">
        <v>3.67</v>
      </c>
      <c r="K5" s="7" t="s">
        <v>46</v>
      </c>
      <c r="L5" s="7" t="s">
        <v>870</v>
      </c>
      <c r="M5" s="7" t="s">
        <v>869</v>
      </c>
      <c r="N5" s="6" t="s">
        <v>934</v>
      </c>
      <c r="O5" s="7">
        <v>75</v>
      </c>
      <c r="P5" s="7">
        <v>250</v>
      </c>
      <c r="Q5" s="7">
        <v>335</v>
      </c>
      <c r="R5" s="7" t="s">
        <v>577</v>
      </c>
      <c r="S5" s="18" t="s">
        <v>577</v>
      </c>
      <c r="T5" s="19" t="s">
        <v>480</v>
      </c>
      <c r="U5" s="20"/>
    </row>
    <row r="6" spans="1:21" ht="15.6" x14ac:dyDescent="0.3">
      <c r="A6" t="s">
        <v>867</v>
      </c>
      <c r="B6" s="6" t="s">
        <v>873</v>
      </c>
      <c r="C6" s="14">
        <v>95134</v>
      </c>
      <c r="D6" s="14" t="s">
        <v>458</v>
      </c>
      <c r="E6" s="6">
        <v>0</v>
      </c>
      <c r="F6" s="6">
        <v>239</v>
      </c>
      <c r="G6" s="6">
        <v>0</v>
      </c>
      <c r="H6" s="6">
        <v>0</v>
      </c>
      <c r="I6" s="6" t="s">
        <v>868</v>
      </c>
      <c r="J6" s="6">
        <v>2.62</v>
      </c>
      <c r="K6" s="6" t="s">
        <v>46</v>
      </c>
      <c r="L6" s="6" t="s">
        <v>870</v>
      </c>
      <c r="M6" s="6" t="s">
        <v>869</v>
      </c>
      <c r="N6" s="6" t="s">
        <v>934</v>
      </c>
      <c r="O6" s="6">
        <v>75</v>
      </c>
      <c r="P6" s="6">
        <v>250</v>
      </c>
      <c r="Q6" s="6">
        <v>239</v>
      </c>
      <c r="R6" s="6" t="s">
        <v>577</v>
      </c>
      <c r="S6" s="15" t="s">
        <v>577</v>
      </c>
      <c r="T6" s="16" t="s">
        <v>480</v>
      </c>
      <c r="U6" s="21"/>
    </row>
    <row r="7" spans="1:21" ht="15.6" x14ac:dyDescent="0.3">
      <c r="A7" t="s">
        <v>867</v>
      </c>
      <c r="B7" s="7" t="s">
        <v>874</v>
      </c>
      <c r="C7" s="17">
        <v>95134</v>
      </c>
      <c r="D7" s="17" t="s">
        <v>461</v>
      </c>
      <c r="E7" s="7">
        <v>0</v>
      </c>
      <c r="F7" s="7">
        <v>280</v>
      </c>
      <c r="G7" s="7">
        <v>0</v>
      </c>
      <c r="H7" s="7">
        <v>0</v>
      </c>
      <c r="I7" s="7" t="s">
        <v>868</v>
      </c>
      <c r="J7" s="7">
        <v>3.08</v>
      </c>
      <c r="K7" s="7" t="s">
        <v>46</v>
      </c>
      <c r="L7" s="7" t="s">
        <v>46</v>
      </c>
      <c r="M7" s="6" t="s">
        <v>933</v>
      </c>
      <c r="N7" s="7" t="s">
        <v>935</v>
      </c>
      <c r="O7" s="7">
        <v>75</v>
      </c>
      <c r="P7" s="7">
        <v>250</v>
      </c>
      <c r="Q7" s="7">
        <v>280</v>
      </c>
      <c r="R7" s="7" t="s">
        <v>577</v>
      </c>
      <c r="S7" s="18" t="s">
        <v>577</v>
      </c>
      <c r="T7" s="19" t="s">
        <v>480</v>
      </c>
      <c r="U7" s="20"/>
    </row>
    <row r="8" spans="1:21" ht="15.6" x14ac:dyDescent="0.3">
      <c r="A8" t="s">
        <v>867</v>
      </c>
      <c r="B8" s="6" t="s">
        <v>875</v>
      </c>
      <c r="C8" s="14">
        <v>95134</v>
      </c>
      <c r="D8" s="14" t="s">
        <v>470</v>
      </c>
      <c r="E8" s="6">
        <v>0</v>
      </c>
      <c r="F8" s="6">
        <v>379</v>
      </c>
      <c r="G8" s="6">
        <v>0</v>
      </c>
      <c r="H8" s="6">
        <v>0</v>
      </c>
      <c r="I8" s="6" t="s">
        <v>868</v>
      </c>
      <c r="J8" s="6">
        <v>5.05</v>
      </c>
      <c r="K8" s="6" t="s">
        <v>46</v>
      </c>
      <c r="L8" s="6" t="s">
        <v>46</v>
      </c>
      <c r="M8" s="6" t="s">
        <v>869</v>
      </c>
      <c r="N8" s="6" t="s">
        <v>934</v>
      </c>
      <c r="O8" s="6">
        <v>75</v>
      </c>
      <c r="P8" s="6">
        <v>250</v>
      </c>
      <c r="Q8" s="6">
        <v>379</v>
      </c>
      <c r="R8" s="6" t="s">
        <v>871</v>
      </c>
      <c r="S8" s="15" t="s">
        <v>51</v>
      </c>
      <c r="T8" s="16" t="s">
        <v>480</v>
      </c>
      <c r="U8" s="21"/>
    </row>
    <row r="9" spans="1:21" ht="15.6" x14ac:dyDescent="0.3">
      <c r="A9" t="s">
        <v>867</v>
      </c>
      <c r="B9" s="7" t="s">
        <v>16</v>
      </c>
      <c r="C9" s="17">
        <v>95112</v>
      </c>
      <c r="D9" s="17" t="s">
        <v>459</v>
      </c>
      <c r="E9" s="7">
        <v>0</v>
      </c>
      <c r="F9" s="7">
        <v>72</v>
      </c>
      <c r="G9" s="7">
        <v>0</v>
      </c>
      <c r="H9" s="7">
        <v>0</v>
      </c>
      <c r="I9" s="7" t="s">
        <v>868</v>
      </c>
      <c r="J9" s="7">
        <v>1.44</v>
      </c>
      <c r="K9" s="7" t="s">
        <v>9</v>
      </c>
      <c r="L9" s="7" t="s">
        <v>876</v>
      </c>
      <c r="M9" s="7" t="s">
        <v>877</v>
      </c>
      <c r="N9" s="7" t="s">
        <v>936</v>
      </c>
      <c r="O9" s="7">
        <v>75</v>
      </c>
      <c r="P9" s="7">
        <v>250</v>
      </c>
      <c r="Q9" s="7">
        <v>72</v>
      </c>
      <c r="R9" s="7" t="s">
        <v>871</v>
      </c>
      <c r="S9" s="18" t="s">
        <v>602</v>
      </c>
      <c r="T9" s="19" t="s">
        <v>480</v>
      </c>
      <c r="U9" s="20"/>
    </row>
    <row r="10" spans="1:21" ht="15.6" x14ac:dyDescent="0.3">
      <c r="A10" t="s">
        <v>867</v>
      </c>
      <c r="B10" s="6" t="s">
        <v>878</v>
      </c>
      <c r="C10" s="14">
        <v>95112</v>
      </c>
      <c r="D10" s="14" t="s">
        <v>464</v>
      </c>
      <c r="E10" s="6">
        <v>0</v>
      </c>
      <c r="F10" s="6">
        <v>74</v>
      </c>
      <c r="G10" s="6">
        <v>0</v>
      </c>
      <c r="H10" s="6">
        <v>0</v>
      </c>
      <c r="I10" s="6" t="s">
        <v>868</v>
      </c>
      <c r="J10" s="6">
        <v>1.48</v>
      </c>
      <c r="K10" s="6" t="s">
        <v>9</v>
      </c>
      <c r="L10" s="6" t="s">
        <v>876</v>
      </c>
      <c r="M10" s="6" t="s">
        <v>877</v>
      </c>
      <c r="N10" s="6" t="s">
        <v>936</v>
      </c>
      <c r="O10" s="6">
        <v>75</v>
      </c>
      <c r="P10" s="6">
        <v>250</v>
      </c>
      <c r="Q10" s="6">
        <v>74</v>
      </c>
      <c r="R10" s="6" t="s">
        <v>871</v>
      </c>
      <c r="S10" s="15" t="s">
        <v>879</v>
      </c>
      <c r="T10" s="16" t="s">
        <v>480</v>
      </c>
      <c r="U10" s="21"/>
    </row>
    <row r="11" spans="1:21" ht="15.6" x14ac:dyDescent="0.3">
      <c r="A11" t="s">
        <v>867</v>
      </c>
      <c r="B11" s="7" t="s">
        <v>880</v>
      </c>
      <c r="C11" s="17">
        <v>95112</v>
      </c>
      <c r="D11" s="17" t="s">
        <v>463</v>
      </c>
      <c r="E11" s="7">
        <v>0</v>
      </c>
      <c r="F11" s="7">
        <v>75</v>
      </c>
      <c r="G11" s="7">
        <v>0</v>
      </c>
      <c r="H11" s="7">
        <v>0</v>
      </c>
      <c r="I11" s="7" t="s">
        <v>868</v>
      </c>
      <c r="J11" s="7">
        <v>0.53</v>
      </c>
      <c r="K11" s="7" t="s">
        <v>9</v>
      </c>
      <c r="L11" s="7" t="s">
        <v>881</v>
      </c>
      <c r="M11" s="7" t="s">
        <v>877</v>
      </c>
      <c r="N11" s="7" t="s">
        <v>936</v>
      </c>
      <c r="O11" s="7">
        <v>75</v>
      </c>
      <c r="P11" s="7">
        <v>250</v>
      </c>
      <c r="Q11" s="7">
        <v>75</v>
      </c>
      <c r="R11" s="7" t="s">
        <v>871</v>
      </c>
      <c r="S11" s="18" t="s">
        <v>10</v>
      </c>
      <c r="T11" s="19" t="s">
        <v>480</v>
      </c>
      <c r="U11" s="20"/>
    </row>
    <row r="12" spans="1:21" ht="15.6" x14ac:dyDescent="0.3">
      <c r="A12" t="s">
        <v>867</v>
      </c>
      <c r="B12" s="6" t="s">
        <v>882</v>
      </c>
      <c r="C12" s="14">
        <v>95134</v>
      </c>
      <c r="D12" s="14" t="s">
        <v>479</v>
      </c>
      <c r="E12" s="6">
        <v>0</v>
      </c>
      <c r="F12" s="6">
        <v>80</v>
      </c>
      <c r="G12" s="6">
        <v>0</v>
      </c>
      <c r="H12" s="6">
        <v>0</v>
      </c>
      <c r="I12" s="6" t="s">
        <v>868</v>
      </c>
      <c r="J12" s="6">
        <v>4.28</v>
      </c>
      <c r="K12" s="6" t="s">
        <v>46</v>
      </c>
      <c r="L12" s="6" t="s">
        <v>46</v>
      </c>
      <c r="M12" s="6" t="s">
        <v>883</v>
      </c>
      <c r="N12" s="6" t="s">
        <v>935</v>
      </c>
      <c r="O12" s="6">
        <v>75</v>
      </c>
      <c r="P12" s="6">
        <v>250</v>
      </c>
      <c r="Q12" s="6">
        <v>80</v>
      </c>
      <c r="R12" s="6" t="s">
        <v>871</v>
      </c>
      <c r="S12" s="15" t="s">
        <v>47</v>
      </c>
      <c r="T12" s="16" t="s">
        <v>480</v>
      </c>
      <c r="U12" s="21"/>
    </row>
    <row r="13" spans="1:21" ht="15.6" x14ac:dyDescent="0.3">
      <c r="A13" t="s">
        <v>867</v>
      </c>
      <c r="B13" s="7" t="s">
        <v>884</v>
      </c>
      <c r="C13" s="17">
        <v>95134</v>
      </c>
      <c r="D13" s="17" t="s">
        <v>472</v>
      </c>
      <c r="E13" s="7">
        <v>0</v>
      </c>
      <c r="F13" s="7">
        <v>339</v>
      </c>
      <c r="G13" s="7">
        <v>0</v>
      </c>
      <c r="H13" s="7">
        <v>1017</v>
      </c>
      <c r="I13" s="7" t="s">
        <v>868</v>
      </c>
      <c r="J13" s="7">
        <v>17.71</v>
      </c>
      <c r="K13" s="7" t="s">
        <v>46</v>
      </c>
      <c r="L13" s="7" t="s">
        <v>870</v>
      </c>
      <c r="M13" s="7" t="s">
        <v>883</v>
      </c>
      <c r="N13" s="7" t="s">
        <v>935</v>
      </c>
      <c r="O13" s="7">
        <v>75</v>
      </c>
      <c r="P13" s="7">
        <v>250</v>
      </c>
      <c r="Q13" s="7">
        <v>1356</v>
      </c>
      <c r="R13" s="7" t="s">
        <v>871</v>
      </c>
      <c r="S13" s="18" t="s">
        <v>51</v>
      </c>
      <c r="T13" s="19" t="s">
        <v>480</v>
      </c>
      <c r="U13" s="20"/>
    </row>
    <row r="14" spans="1:21" ht="15.6" x14ac:dyDescent="0.3">
      <c r="A14" t="s">
        <v>867</v>
      </c>
      <c r="B14" s="6" t="s">
        <v>885</v>
      </c>
      <c r="C14" s="14">
        <v>95134</v>
      </c>
      <c r="D14" s="14" t="s">
        <v>471</v>
      </c>
      <c r="E14" s="6">
        <v>0</v>
      </c>
      <c r="F14" s="6">
        <v>119</v>
      </c>
      <c r="G14" s="6">
        <v>0</v>
      </c>
      <c r="H14" s="6">
        <v>356</v>
      </c>
      <c r="I14" s="6" t="s">
        <v>868</v>
      </c>
      <c r="J14" s="6">
        <v>6.33</v>
      </c>
      <c r="K14" s="6" t="s">
        <v>46</v>
      </c>
      <c r="L14" s="6" t="s">
        <v>46</v>
      </c>
      <c r="M14" s="6" t="s">
        <v>883</v>
      </c>
      <c r="N14" s="6" t="s">
        <v>935</v>
      </c>
      <c r="O14" s="6">
        <v>75</v>
      </c>
      <c r="P14" s="6">
        <v>250</v>
      </c>
      <c r="Q14" s="6">
        <v>475</v>
      </c>
      <c r="R14" s="6" t="s">
        <v>871</v>
      </c>
      <c r="S14" s="15" t="s">
        <v>47</v>
      </c>
      <c r="T14" s="16" t="s">
        <v>480</v>
      </c>
      <c r="U14" s="21"/>
    </row>
    <row r="15" spans="1:21" ht="15.6" x14ac:dyDescent="0.3">
      <c r="A15" t="s">
        <v>867</v>
      </c>
      <c r="B15" s="7" t="s">
        <v>886</v>
      </c>
      <c r="C15" s="17">
        <v>95131</v>
      </c>
      <c r="D15" s="17" t="s">
        <v>476</v>
      </c>
      <c r="E15" s="7">
        <v>0</v>
      </c>
      <c r="F15" s="7">
        <v>480</v>
      </c>
      <c r="G15" s="7">
        <v>0</v>
      </c>
      <c r="H15" s="7">
        <v>1439</v>
      </c>
      <c r="I15" s="7" t="s">
        <v>868</v>
      </c>
      <c r="J15" s="7">
        <v>40.58</v>
      </c>
      <c r="K15" s="7" t="s">
        <v>14</v>
      </c>
      <c r="L15" s="7" t="s">
        <v>887</v>
      </c>
      <c r="M15" s="7" t="s">
        <v>888</v>
      </c>
      <c r="N15" s="7" t="s">
        <v>935</v>
      </c>
      <c r="O15" s="7">
        <v>75</v>
      </c>
      <c r="P15" s="7">
        <v>250</v>
      </c>
      <c r="Q15" s="7">
        <v>1919</v>
      </c>
      <c r="R15" s="7" t="s">
        <v>577</v>
      </c>
      <c r="S15" s="18" t="s">
        <v>577</v>
      </c>
      <c r="T15" s="19" t="s">
        <v>480</v>
      </c>
      <c r="U15" s="20"/>
    </row>
    <row r="16" spans="1:21" ht="15.6" x14ac:dyDescent="0.3">
      <c r="A16" t="s">
        <v>867</v>
      </c>
      <c r="B16" s="6" t="s">
        <v>889</v>
      </c>
      <c r="C16" s="14">
        <v>95134</v>
      </c>
      <c r="D16" s="14" t="s">
        <v>473</v>
      </c>
      <c r="E16" s="6">
        <v>0</v>
      </c>
      <c r="F16" s="6">
        <v>292</v>
      </c>
      <c r="G16" s="6">
        <v>0</v>
      </c>
      <c r="H16" s="6">
        <v>878</v>
      </c>
      <c r="I16" s="6" t="s">
        <v>868</v>
      </c>
      <c r="J16" s="6">
        <v>15.6</v>
      </c>
      <c r="K16" s="6" t="s">
        <v>14</v>
      </c>
      <c r="L16" s="6" t="s">
        <v>46</v>
      </c>
      <c r="M16" s="6" t="s">
        <v>888</v>
      </c>
      <c r="N16" s="6" t="s">
        <v>935</v>
      </c>
      <c r="O16" s="6">
        <v>75</v>
      </c>
      <c r="P16" s="6">
        <v>250</v>
      </c>
      <c r="Q16" s="6">
        <v>1170</v>
      </c>
      <c r="R16" s="6" t="s">
        <v>871</v>
      </c>
      <c r="S16" s="15" t="s">
        <v>51</v>
      </c>
      <c r="T16" s="16" t="s">
        <v>480</v>
      </c>
      <c r="U16" s="21"/>
    </row>
    <row r="17" spans="1:21" ht="15.6" x14ac:dyDescent="0.3">
      <c r="A17" t="s">
        <v>867</v>
      </c>
      <c r="B17" s="7" t="s">
        <v>890</v>
      </c>
      <c r="C17" s="17">
        <v>95134</v>
      </c>
      <c r="D17" s="17" t="s">
        <v>475</v>
      </c>
      <c r="E17" s="7">
        <v>0</v>
      </c>
      <c r="F17" s="7">
        <v>428</v>
      </c>
      <c r="G17" s="7">
        <v>0</v>
      </c>
      <c r="H17" s="7">
        <v>1283</v>
      </c>
      <c r="I17" s="7" t="s">
        <v>868</v>
      </c>
      <c r="J17" s="7">
        <v>22.81</v>
      </c>
      <c r="K17" s="7" t="s">
        <v>14</v>
      </c>
      <c r="L17" s="7" t="s">
        <v>46</v>
      </c>
      <c r="M17" s="7" t="s">
        <v>888</v>
      </c>
      <c r="N17" s="6" t="s">
        <v>935</v>
      </c>
      <c r="O17" s="7">
        <v>75</v>
      </c>
      <c r="P17" s="7">
        <v>250</v>
      </c>
      <c r="Q17" s="7">
        <v>1711</v>
      </c>
      <c r="R17" s="7" t="s">
        <v>871</v>
      </c>
      <c r="S17" s="18" t="s">
        <v>51</v>
      </c>
      <c r="T17" s="19" t="s">
        <v>480</v>
      </c>
      <c r="U17" s="20"/>
    </row>
    <row r="18" spans="1:21" ht="15.6" x14ac:dyDescent="0.3">
      <c r="A18" t="s">
        <v>867</v>
      </c>
      <c r="B18" s="6" t="s">
        <v>891</v>
      </c>
      <c r="C18" s="14">
        <v>95134</v>
      </c>
      <c r="D18" s="14" t="s">
        <v>474</v>
      </c>
      <c r="E18" s="6">
        <v>0</v>
      </c>
      <c r="F18" s="6">
        <v>173</v>
      </c>
      <c r="G18" s="6">
        <v>0</v>
      </c>
      <c r="H18" s="6">
        <v>520</v>
      </c>
      <c r="I18" s="6" t="s">
        <v>868</v>
      </c>
      <c r="J18" s="6">
        <v>9.24</v>
      </c>
      <c r="K18" s="6" t="s">
        <v>14</v>
      </c>
      <c r="L18" s="6" t="s">
        <v>46</v>
      </c>
      <c r="M18" s="6" t="s">
        <v>888</v>
      </c>
      <c r="N18" s="6" t="s">
        <v>935</v>
      </c>
      <c r="O18" s="6">
        <v>75</v>
      </c>
      <c r="P18" s="6">
        <v>250</v>
      </c>
      <c r="Q18" s="6">
        <v>693</v>
      </c>
      <c r="R18" s="6" t="s">
        <v>871</v>
      </c>
      <c r="S18" s="15" t="s">
        <v>47</v>
      </c>
      <c r="T18" s="16" t="s">
        <v>480</v>
      </c>
      <c r="U18" s="21"/>
    </row>
    <row r="19" spans="1:21" ht="15.6" x14ac:dyDescent="0.3">
      <c r="A19" t="s">
        <v>867</v>
      </c>
      <c r="B19" s="7" t="s">
        <v>892</v>
      </c>
      <c r="C19" s="17">
        <v>95134</v>
      </c>
      <c r="D19" s="17" t="s">
        <v>469</v>
      </c>
      <c r="E19" s="7">
        <v>0</v>
      </c>
      <c r="F19" s="7">
        <v>77</v>
      </c>
      <c r="G19" s="7">
        <v>0</v>
      </c>
      <c r="H19" s="7">
        <v>230</v>
      </c>
      <c r="I19" s="7" t="s">
        <v>868</v>
      </c>
      <c r="J19" s="7">
        <v>4.0999999999999996</v>
      </c>
      <c r="K19" s="7" t="s">
        <v>14</v>
      </c>
      <c r="L19" s="7" t="s">
        <v>893</v>
      </c>
      <c r="M19" s="7" t="s">
        <v>888</v>
      </c>
      <c r="N19" s="6" t="s">
        <v>935</v>
      </c>
      <c r="O19" s="7">
        <v>75</v>
      </c>
      <c r="P19" s="7">
        <v>250</v>
      </c>
      <c r="Q19" s="7">
        <v>307</v>
      </c>
      <c r="R19" s="7" t="s">
        <v>871</v>
      </c>
      <c r="S19" s="18" t="s">
        <v>47</v>
      </c>
      <c r="T19" s="19" t="s">
        <v>480</v>
      </c>
      <c r="U19" s="20"/>
    </row>
    <row r="20" spans="1:21" ht="15.6" x14ac:dyDescent="0.3">
      <c r="A20" t="s">
        <v>867</v>
      </c>
      <c r="B20" s="6" t="s">
        <v>894</v>
      </c>
      <c r="C20" s="14">
        <v>95134</v>
      </c>
      <c r="D20" s="14" t="s">
        <v>466</v>
      </c>
      <c r="E20" s="6">
        <v>0</v>
      </c>
      <c r="F20" s="6">
        <v>102</v>
      </c>
      <c r="G20" s="6">
        <v>0</v>
      </c>
      <c r="H20" s="6">
        <v>304</v>
      </c>
      <c r="I20" s="6" t="s">
        <v>868</v>
      </c>
      <c r="J20" s="6">
        <v>5.41</v>
      </c>
      <c r="K20" s="6" t="s">
        <v>14</v>
      </c>
      <c r="L20" s="6" t="s">
        <v>46</v>
      </c>
      <c r="M20" s="6" t="s">
        <v>888</v>
      </c>
      <c r="N20" s="6" t="s">
        <v>935</v>
      </c>
      <c r="O20" s="6">
        <v>75</v>
      </c>
      <c r="P20" s="6">
        <v>250</v>
      </c>
      <c r="Q20" s="6">
        <v>406</v>
      </c>
      <c r="R20" s="6" t="s">
        <v>871</v>
      </c>
      <c r="S20" s="15" t="s">
        <v>51</v>
      </c>
      <c r="T20" s="16" t="s">
        <v>480</v>
      </c>
      <c r="U20" s="21"/>
    </row>
    <row r="21" spans="1:21" ht="15.6" x14ac:dyDescent="0.3">
      <c r="A21" t="s">
        <v>867</v>
      </c>
      <c r="B21" s="7" t="s">
        <v>895</v>
      </c>
      <c r="C21" s="17">
        <v>95134</v>
      </c>
      <c r="D21" s="17" t="s">
        <v>467</v>
      </c>
      <c r="E21" s="7">
        <v>0</v>
      </c>
      <c r="F21" s="7">
        <v>160</v>
      </c>
      <c r="G21" s="7">
        <v>0</v>
      </c>
      <c r="H21" s="7">
        <v>481</v>
      </c>
      <c r="I21" s="7" t="s">
        <v>868</v>
      </c>
      <c r="J21" s="7">
        <v>6.46</v>
      </c>
      <c r="K21" s="7" t="s">
        <v>14</v>
      </c>
      <c r="L21" s="7" t="s">
        <v>46</v>
      </c>
      <c r="M21" s="7" t="s">
        <v>888</v>
      </c>
      <c r="N21" s="6" t="s">
        <v>935</v>
      </c>
      <c r="O21" s="7">
        <v>75</v>
      </c>
      <c r="P21" s="7">
        <v>250</v>
      </c>
      <c r="Q21" s="7">
        <v>641</v>
      </c>
      <c r="R21" s="7" t="s">
        <v>871</v>
      </c>
      <c r="S21" s="18" t="s">
        <v>12</v>
      </c>
      <c r="T21" s="19" t="s">
        <v>480</v>
      </c>
      <c r="U21" s="20"/>
    </row>
    <row r="22" spans="1:21" ht="15.6" x14ac:dyDescent="0.3">
      <c r="A22" t="s">
        <v>867</v>
      </c>
      <c r="B22" s="6" t="s">
        <v>896</v>
      </c>
      <c r="C22" s="14">
        <v>95134</v>
      </c>
      <c r="D22" s="14" t="s">
        <v>468</v>
      </c>
      <c r="E22" s="6">
        <v>0</v>
      </c>
      <c r="F22" s="6">
        <v>119</v>
      </c>
      <c r="G22" s="6">
        <v>0</v>
      </c>
      <c r="H22" s="6">
        <v>355</v>
      </c>
      <c r="I22" s="6" t="s">
        <v>868</v>
      </c>
      <c r="J22" s="6">
        <v>6.32</v>
      </c>
      <c r="K22" s="6" t="s">
        <v>14</v>
      </c>
      <c r="L22" s="6" t="s">
        <v>46</v>
      </c>
      <c r="M22" s="6" t="s">
        <v>888</v>
      </c>
      <c r="N22" s="6" t="s">
        <v>935</v>
      </c>
      <c r="O22" s="6">
        <v>75</v>
      </c>
      <c r="P22" s="6">
        <v>250</v>
      </c>
      <c r="Q22" s="6">
        <v>474</v>
      </c>
      <c r="R22" s="6" t="s">
        <v>871</v>
      </c>
      <c r="S22" s="15" t="s">
        <v>51</v>
      </c>
      <c r="T22" s="16" t="s">
        <v>480</v>
      </c>
      <c r="U22" s="21"/>
    </row>
    <row r="23" spans="1:21" ht="15.6" x14ac:dyDescent="0.3">
      <c r="A23" t="s">
        <v>867</v>
      </c>
      <c r="B23" s="7" t="s">
        <v>897</v>
      </c>
      <c r="C23" s="17">
        <v>95134</v>
      </c>
      <c r="D23" s="17" t="s">
        <v>478</v>
      </c>
      <c r="E23" s="7">
        <v>0</v>
      </c>
      <c r="F23" s="7">
        <v>83</v>
      </c>
      <c r="G23" s="7">
        <v>0</v>
      </c>
      <c r="H23" s="7">
        <v>249</v>
      </c>
      <c r="I23" s="7" t="s">
        <v>868</v>
      </c>
      <c r="J23" s="7">
        <v>4.43</v>
      </c>
      <c r="K23" s="7" t="s">
        <v>14</v>
      </c>
      <c r="L23" s="7" t="s">
        <v>46</v>
      </c>
      <c r="M23" s="7" t="s">
        <v>888</v>
      </c>
      <c r="N23" s="6" t="s">
        <v>935</v>
      </c>
      <c r="O23" s="7">
        <v>75</v>
      </c>
      <c r="P23" s="7">
        <v>250</v>
      </c>
      <c r="Q23" s="7">
        <v>332</v>
      </c>
      <c r="R23" s="7" t="s">
        <v>871</v>
      </c>
      <c r="S23" s="18" t="s">
        <v>47</v>
      </c>
      <c r="T23" s="19" t="s">
        <v>480</v>
      </c>
      <c r="U23" s="20"/>
    </row>
    <row r="24" spans="1:21" ht="15.6" x14ac:dyDescent="0.3">
      <c r="A24" t="s">
        <v>867</v>
      </c>
      <c r="B24" s="6" t="s">
        <v>898</v>
      </c>
      <c r="C24" s="14">
        <v>95134</v>
      </c>
      <c r="D24" s="14" t="s">
        <v>477</v>
      </c>
      <c r="E24" s="6">
        <v>0</v>
      </c>
      <c r="F24" s="6">
        <v>72</v>
      </c>
      <c r="G24" s="6">
        <v>0</v>
      </c>
      <c r="H24" s="6">
        <v>216</v>
      </c>
      <c r="I24" s="6" t="s">
        <v>868</v>
      </c>
      <c r="J24" s="6">
        <v>3.53</v>
      </c>
      <c r="K24" s="6" t="s">
        <v>14</v>
      </c>
      <c r="L24" s="6" t="s">
        <v>46</v>
      </c>
      <c r="M24" s="6" t="s">
        <v>888</v>
      </c>
      <c r="N24" s="6" t="s">
        <v>935</v>
      </c>
      <c r="O24" s="6">
        <v>75</v>
      </c>
      <c r="P24" s="6">
        <v>250</v>
      </c>
      <c r="Q24" s="6">
        <v>288</v>
      </c>
      <c r="R24" s="6" t="s">
        <v>871</v>
      </c>
      <c r="S24" s="15" t="s">
        <v>47</v>
      </c>
      <c r="T24" s="16" t="s">
        <v>480</v>
      </c>
      <c r="U24" s="21"/>
    </row>
    <row r="25" spans="1:21" ht="15.6" x14ac:dyDescent="0.3">
      <c r="A25" t="s">
        <v>867</v>
      </c>
      <c r="B25" s="7" t="s">
        <v>314</v>
      </c>
      <c r="C25" s="7">
        <v>95125</v>
      </c>
      <c r="D25" s="7" t="str">
        <f>"456-03-011"</f>
        <v>456-03-011</v>
      </c>
      <c r="E25" s="7">
        <v>0</v>
      </c>
      <c r="F25" s="7">
        <v>0</v>
      </c>
      <c r="G25" s="7">
        <v>23</v>
      </c>
      <c r="H25" s="7">
        <v>0</v>
      </c>
      <c r="I25" s="7" t="s">
        <v>868</v>
      </c>
      <c r="J25" s="7">
        <v>0.51</v>
      </c>
      <c r="K25" s="7" t="s">
        <v>50</v>
      </c>
      <c r="L25" s="7" t="s">
        <v>208</v>
      </c>
      <c r="M25" s="7" t="s">
        <v>938</v>
      </c>
      <c r="N25" s="7" t="s">
        <v>96</v>
      </c>
      <c r="O25" s="7">
        <v>30</v>
      </c>
      <c r="P25" s="7">
        <v>95</v>
      </c>
      <c r="Q25" s="7">
        <v>23</v>
      </c>
      <c r="R25" s="7" t="s">
        <v>871</v>
      </c>
      <c r="S25" s="7" t="s">
        <v>580</v>
      </c>
      <c r="T25" s="7" t="s">
        <v>480</v>
      </c>
      <c r="U25" s="7"/>
    </row>
    <row r="26" spans="1:21" ht="15.6" x14ac:dyDescent="0.3">
      <c r="A26" t="s">
        <v>867</v>
      </c>
      <c r="B26" s="6" t="s">
        <v>316</v>
      </c>
      <c r="C26" s="6">
        <v>95126</v>
      </c>
      <c r="D26" s="6" t="str">
        <f>"264-03-043"</f>
        <v>264-03-043</v>
      </c>
      <c r="E26" s="6">
        <v>0</v>
      </c>
      <c r="F26" s="6">
        <v>12</v>
      </c>
      <c r="G26" s="6">
        <v>0</v>
      </c>
      <c r="H26" s="6">
        <v>0</v>
      </c>
      <c r="I26" s="6" t="s">
        <v>868</v>
      </c>
      <c r="J26" s="6">
        <v>0.87421346665341204</v>
      </c>
      <c r="K26" s="6" t="s">
        <v>33</v>
      </c>
      <c r="L26" s="6" t="s">
        <v>55</v>
      </c>
      <c r="M26" s="6" t="s">
        <v>938</v>
      </c>
      <c r="N26" s="6" t="s">
        <v>34</v>
      </c>
      <c r="O26" s="6">
        <v>0</v>
      </c>
      <c r="P26" s="6">
        <v>30</v>
      </c>
      <c r="Q26" s="6">
        <v>12</v>
      </c>
      <c r="R26" s="6" t="s">
        <v>871</v>
      </c>
      <c r="S26" s="6" t="s">
        <v>937</v>
      </c>
      <c r="T26" s="6" t="s">
        <v>480</v>
      </c>
      <c r="U26" s="6"/>
    </row>
    <row r="27" spans="1:21" ht="15.6" x14ac:dyDescent="0.3">
      <c r="A27" t="s">
        <v>867</v>
      </c>
      <c r="B27" s="7" t="s">
        <v>414</v>
      </c>
      <c r="C27" s="7">
        <v>95134</v>
      </c>
      <c r="D27" s="7" t="s">
        <v>457</v>
      </c>
      <c r="E27" s="7">
        <v>0</v>
      </c>
      <c r="F27" s="7">
        <v>0</v>
      </c>
      <c r="G27" s="7">
        <v>0</v>
      </c>
      <c r="H27" s="7">
        <v>405</v>
      </c>
      <c r="I27" s="7" t="s">
        <v>868</v>
      </c>
      <c r="J27" s="7">
        <v>4.2699999999999996</v>
      </c>
      <c r="K27" s="7" t="s">
        <v>46</v>
      </c>
      <c r="L27" s="7" t="s">
        <v>578</v>
      </c>
      <c r="M27" s="7" t="s">
        <v>869</v>
      </c>
      <c r="N27" s="7" t="s">
        <v>936</v>
      </c>
      <c r="O27" s="7">
        <v>75</v>
      </c>
      <c r="P27" s="7">
        <v>250</v>
      </c>
      <c r="Q27" s="7">
        <v>405</v>
      </c>
      <c r="R27" s="7" t="s">
        <v>769</v>
      </c>
      <c r="S27" s="7" t="s">
        <v>577</v>
      </c>
      <c r="T27" s="7" t="s">
        <v>480</v>
      </c>
      <c r="U27" s="7"/>
    </row>
    <row r="28" spans="1:21" ht="15.6" x14ac:dyDescent="0.3">
      <c r="A28" t="s">
        <v>867</v>
      </c>
      <c r="B28" s="6" t="s">
        <v>78</v>
      </c>
      <c r="C28" s="6">
        <v>95134</v>
      </c>
      <c r="D28" s="6" t="str">
        <f>"097-06-055"</f>
        <v>097-06-055</v>
      </c>
      <c r="E28" s="6">
        <v>0</v>
      </c>
      <c r="F28" s="6">
        <v>0</v>
      </c>
      <c r="G28" s="6">
        <v>0</v>
      </c>
      <c r="H28" s="6">
        <v>410</v>
      </c>
      <c r="I28" s="6" t="s">
        <v>868</v>
      </c>
      <c r="J28" s="6">
        <v>11.5566336320773</v>
      </c>
      <c r="K28" s="6" t="s">
        <v>46</v>
      </c>
      <c r="L28" s="6" t="s">
        <v>6</v>
      </c>
      <c r="M28" s="6" t="s">
        <v>939</v>
      </c>
      <c r="N28" s="6" t="s">
        <v>870</v>
      </c>
      <c r="O28" s="6">
        <v>75</v>
      </c>
      <c r="P28" s="6">
        <v>250</v>
      </c>
      <c r="Q28" s="6">
        <v>410</v>
      </c>
      <c r="R28" s="6" t="s">
        <v>769</v>
      </c>
      <c r="S28" s="6" t="s">
        <v>769</v>
      </c>
      <c r="T28" s="6" t="s">
        <v>480</v>
      </c>
      <c r="U28" s="6"/>
    </row>
    <row r="29" spans="1:21" ht="15.6" x14ac:dyDescent="0.3">
      <c r="A29" t="s">
        <v>867</v>
      </c>
      <c r="B29" s="7" t="s">
        <v>412</v>
      </c>
      <c r="C29" s="7">
        <v>95134</v>
      </c>
      <c r="D29" s="7" t="str">
        <f>"097-54-020"</f>
        <v>097-54-020</v>
      </c>
      <c r="E29" s="7">
        <v>0</v>
      </c>
      <c r="F29" s="7">
        <v>0</v>
      </c>
      <c r="G29" s="7">
        <v>0</v>
      </c>
      <c r="H29" s="7">
        <v>342</v>
      </c>
      <c r="I29" s="7" t="s">
        <v>868</v>
      </c>
      <c r="J29" s="7">
        <v>5.5890324137712204</v>
      </c>
      <c r="K29" s="7" t="s">
        <v>46</v>
      </c>
      <c r="L29" s="7" t="s">
        <v>578</v>
      </c>
      <c r="M29" s="7" t="s">
        <v>939</v>
      </c>
      <c r="N29" s="7" t="s">
        <v>870</v>
      </c>
      <c r="O29" s="7">
        <v>75</v>
      </c>
      <c r="P29" s="7">
        <v>250</v>
      </c>
      <c r="Q29" s="7">
        <v>342</v>
      </c>
      <c r="R29" s="7" t="s">
        <v>940</v>
      </c>
      <c r="S29" s="7" t="s">
        <v>576</v>
      </c>
      <c r="T29" s="7" t="s">
        <v>480</v>
      </c>
      <c r="U29" s="7"/>
    </row>
    <row r="30" spans="1:21" ht="15.6" x14ac:dyDescent="0.3">
      <c r="A30" t="s">
        <v>867</v>
      </c>
      <c r="B30" s="6" t="s">
        <v>401</v>
      </c>
      <c r="C30" s="6">
        <v>95134</v>
      </c>
      <c r="D30" s="6" t="str">
        <f>"097-54-015"</f>
        <v>097-54-015</v>
      </c>
      <c r="E30" s="6">
        <v>0</v>
      </c>
      <c r="F30" s="6">
        <v>0</v>
      </c>
      <c r="G30" s="6">
        <v>0</v>
      </c>
      <c r="H30" s="6">
        <v>614</v>
      </c>
      <c r="I30" s="6" t="s">
        <v>868</v>
      </c>
      <c r="J30" s="6">
        <v>5.6487384973837198</v>
      </c>
      <c r="K30" s="6" t="s">
        <v>46</v>
      </c>
      <c r="L30" s="6" t="s">
        <v>578</v>
      </c>
      <c r="M30" s="6" t="s">
        <v>939</v>
      </c>
      <c r="N30" s="6" t="s">
        <v>870</v>
      </c>
      <c r="O30" s="6">
        <v>75</v>
      </c>
      <c r="P30" s="6">
        <v>250</v>
      </c>
      <c r="Q30" s="6">
        <v>614</v>
      </c>
      <c r="R30" s="6" t="s">
        <v>940</v>
      </c>
      <c r="S30" s="6" t="s">
        <v>576</v>
      </c>
      <c r="T30" s="6" t="s">
        <v>480</v>
      </c>
      <c r="U30" s="6"/>
    </row>
    <row r="31" spans="1:21" ht="15.6" x14ac:dyDescent="0.3">
      <c r="A31" t="s">
        <v>867</v>
      </c>
      <c r="B31" s="7" t="s">
        <v>406</v>
      </c>
      <c r="C31" s="7">
        <v>95134</v>
      </c>
      <c r="D31" s="7" t="str">
        <f>"097-54-019"</f>
        <v>097-54-019</v>
      </c>
      <c r="E31" s="7">
        <v>0</v>
      </c>
      <c r="F31" s="7">
        <v>0</v>
      </c>
      <c r="G31" s="7">
        <v>0</v>
      </c>
      <c r="H31" s="7">
        <v>375</v>
      </c>
      <c r="I31" s="7" t="s">
        <v>868</v>
      </c>
      <c r="J31" s="7">
        <v>6.1387502533182197</v>
      </c>
      <c r="K31" s="7" t="s">
        <v>46</v>
      </c>
      <c r="L31" s="7" t="s">
        <v>578</v>
      </c>
      <c r="M31" s="7" t="s">
        <v>939</v>
      </c>
      <c r="N31" s="7" t="s">
        <v>870</v>
      </c>
      <c r="O31" s="7">
        <v>75</v>
      </c>
      <c r="P31" s="7">
        <v>250</v>
      </c>
      <c r="Q31" s="7">
        <v>375</v>
      </c>
      <c r="R31" s="7" t="s">
        <v>940</v>
      </c>
      <c r="S31" s="7" t="s">
        <v>576</v>
      </c>
      <c r="T31" s="7" t="s">
        <v>480</v>
      </c>
      <c r="U31" s="7"/>
    </row>
    <row r="32" spans="1:21" ht="15.6" x14ac:dyDescent="0.3">
      <c r="A32" t="s">
        <v>867</v>
      </c>
      <c r="B32" s="6" t="s">
        <v>403</v>
      </c>
      <c r="C32" s="6">
        <v>95134</v>
      </c>
      <c r="D32" s="6" t="str">
        <f>"097-54-017"</f>
        <v>097-54-017</v>
      </c>
      <c r="E32" s="6">
        <v>0</v>
      </c>
      <c r="F32" s="6">
        <v>0</v>
      </c>
      <c r="G32" s="6">
        <v>0</v>
      </c>
      <c r="H32" s="6">
        <v>314</v>
      </c>
      <c r="I32" s="6" t="s">
        <v>868</v>
      </c>
      <c r="J32" s="6">
        <v>5.1432136045308496</v>
      </c>
      <c r="K32" s="6" t="s">
        <v>46</v>
      </c>
      <c r="L32" s="6" t="s">
        <v>578</v>
      </c>
      <c r="M32" s="6" t="s">
        <v>939</v>
      </c>
      <c r="N32" s="6" t="s">
        <v>870</v>
      </c>
      <c r="O32" s="6">
        <v>75</v>
      </c>
      <c r="P32" s="6">
        <v>250</v>
      </c>
      <c r="Q32" s="6">
        <v>314</v>
      </c>
      <c r="R32" s="6" t="s">
        <v>940</v>
      </c>
      <c r="S32" s="6" t="s">
        <v>576</v>
      </c>
      <c r="T32" s="6" t="s">
        <v>480</v>
      </c>
      <c r="U32" s="6"/>
    </row>
    <row r="33" spans="1:21" ht="15.6" x14ac:dyDescent="0.3">
      <c r="A33" t="s">
        <v>867</v>
      </c>
      <c r="B33" s="7" t="s">
        <v>402</v>
      </c>
      <c r="C33" s="7">
        <v>95134</v>
      </c>
      <c r="D33" s="7" t="str">
        <f>"097-54-016"</f>
        <v>097-54-016</v>
      </c>
      <c r="E33" s="7">
        <v>0</v>
      </c>
      <c r="F33" s="7">
        <v>0</v>
      </c>
      <c r="G33" s="7">
        <v>0</v>
      </c>
      <c r="H33" s="7">
        <v>327</v>
      </c>
      <c r="I33" s="7" t="s">
        <v>868</v>
      </c>
      <c r="J33" s="7">
        <v>5.3554086404126604</v>
      </c>
      <c r="K33" s="7" t="s">
        <v>46</v>
      </c>
      <c r="L33" s="7" t="s">
        <v>578</v>
      </c>
      <c r="M33" s="7" t="s">
        <v>939</v>
      </c>
      <c r="N33" s="7" t="s">
        <v>870</v>
      </c>
      <c r="O33" s="7">
        <v>75</v>
      </c>
      <c r="P33" s="7">
        <v>250</v>
      </c>
      <c r="Q33" s="7">
        <v>327</v>
      </c>
      <c r="R33" s="7" t="s">
        <v>940</v>
      </c>
      <c r="S33" s="7" t="s">
        <v>576</v>
      </c>
      <c r="T33" s="7" t="s">
        <v>480</v>
      </c>
      <c r="U33" s="7"/>
    </row>
    <row r="34" spans="1:21" ht="15.6" x14ac:dyDescent="0.3">
      <c r="A34" t="s">
        <v>867</v>
      </c>
      <c r="B34" s="6" t="s">
        <v>404</v>
      </c>
      <c r="C34" s="6">
        <v>95134</v>
      </c>
      <c r="D34" s="6" t="str">
        <f>"097-54-018"</f>
        <v>097-54-018</v>
      </c>
      <c r="E34" s="6">
        <v>0</v>
      </c>
      <c r="F34" s="6">
        <v>0</v>
      </c>
      <c r="G34" s="6">
        <v>0</v>
      </c>
      <c r="H34" s="6">
        <v>335</v>
      </c>
      <c r="I34" s="6" t="s">
        <v>868</v>
      </c>
      <c r="J34" s="6">
        <v>5.4749856745369501</v>
      </c>
      <c r="K34" s="6" t="s">
        <v>46</v>
      </c>
      <c r="L34" s="6" t="s">
        <v>578</v>
      </c>
      <c r="M34" s="6" t="s">
        <v>939</v>
      </c>
      <c r="N34" s="6" t="s">
        <v>870</v>
      </c>
      <c r="O34" s="6">
        <v>75</v>
      </c>
      <c r="P34" s="6">
        <v>250</v>
      </c>
      <c r="Q34" s="6">
        <v>335</v>
      </c>
      <c r="R34" s="6" t="s">
        <v>940</v>
      </c>
      <c r="S34" s="6" t="s">
        <v>576</v>
      </c>
      <c r="T34" s="6" t="s">
        <v>480</v>
      </c>
      <c r="U34" s="6"/>
    </row>
  </sheetData>
  <conditionalFormatting sqref="B3:B26">
    <cfRule type="expression" dxfId="43" priority="76">
      <formula>AND(ISBLANK(B3),SUM(COUNTIF(B3:T3,"&lt;&gt;"&amp;"")&gt;0))</formula>
    </cfRule>
  </conditionalFormatting>
  <conditionalFormatting sqref="C3:C24">
    <cfRule type="expression" dxfId="42" priority="77">
      <formula>AND(ISBLANK(C3),SUM(COUNTIF(B3:T3,"&lt;&gt;"&amp;"")&gt;0))</formula>
    </cfRule>
  </conditionalFormatting>
  <conditionalFormatting sqref="E3:E24">
    <cfRule type="expression" dxfId="41" priority="80">
      <formula>AND(ISBLANK(E3),SUM(COUNTIF(B3:T3,"&lt;&gt;"&amp;"")&gt;0))</formula>
    </cfRule>
  </conditionalFormatting>
  <conditionalFormatting sqref="F3:F24">
    <cfRule type="expression" dxfId="40" priority="81">
      <formula>AND(ISBLANK(F3),SUM(COUNTIF(B3:T3,"&lt;&gt;"&amp;"")&gt;0))</formula>
    </cfRule>
  </conditionalFormatting>
  <conditionalFormatting sqref="G3:G24">
    <cfRule type="expression" dxfId="39" priority="82">
      <formula>AND(ISBLANK(G3),SUM(COUNTIF(B3:T3,"&lt;&gt;"&amp;"")&gt;0))</formula>
    </cfRule>
  </conditionalFormatting>
  <conditionalFormatting sqref="H3:H24">
    <cfRule type="expression" dxfId="38" priority="83">
      <formula>AND(ISBLANK(H3),SUM(COUNTIF(B3:T3,"&lt;&gt;"&amp;"")&gt;0))</formula>
    </cfRule>
  </conditionalFormatting>
  <conditionalFormatting sqref="I3:I24">
    <cfRule type="expression" dxfId="37" priority="84">
      <formula>AND(ISBLANK(I3),SUM(COUNTIF(B3:T3,"&lt;&gt;"&amp;"")&gt;0))</formula>
    </cfRule>
  </conditionalFormatting>
  <conditionalFormatting sqref="J3:J24">
    <cfRule type="expression" dxfId="36" priority="85">
      <formula>AND(ISBLANK(J3),SUM(COUNTIF(B3:T3,"&lt;&gt;"&amp;"")&gt;0))</formula>
    </cfRule>
  </conditionalFormatting>
  <conditionalFormatting sqref="K3:K24">
    <cfRule type="expression" dxfId="35" priority="86">
      <formula>AND(ISBLANK(K3),SUM(COUNTIF(B3:T3,"&lt;&gt;"&amp;"")&gt;0))</formula>
    </cfRule>
  </conditionalFormatting>
  <conditionalFormatting sqref="L3:L24">
    <cfRule type="expression" dxfId="34" priority="87">
      <formula>AND(ISBLANK(L3),SUM(COUNTIF(B3:T3,"&lt;&gt;"&amp;"")&gt;0))</formula>
    </cfRule>
  </conditionalFormatting>
  <conditionalFormatting sqref="M3:M24">
    <cfRule type="expression" dxfId="33" priority="88">
      <formula>AND(ISBLANK(M3),SUM(COUNTIF(B3:T3,"&lt;&gt;"&amp;"")&gt;0))</formula>
    </cfRule>
  </conditionalFormatting>
  <conditionalFormatting sqref="N3:N24">
    <cfRule type="expression" dxfId="32" priority="89">
      <formula>AND(ISBLANK(N3),SUM(COUNTIF(B3:T3,"&lt;&gt;"&amp;"")&gt;0))</formula>
    </cfRule>
  </conditionalFormatting>
  <conditionalFormatting sqref="O3:O24">
    <cfRule type="expression" dxfId="31" priority="90">
      <formula>AND(ISBLANK(O3),SUM(COUNTIF(B3:T3,"&lt;&gt;"&amp;"")&gt;0))</formula>
    </cfRule>
  </conditionalFormatting>
  <conditionalFormatting sqref="P3:P24">
    <cfRule type="expression" dxfId="30" priority="91">
      <formula>AND(ISBLANK(P3),SUM(COUNTIF(B3:T3,"&lt;&gt;"&amp;"")&gt;0))</formula>
    </cfRule>
  </conditionalFormatting>
  <conditionalFormatting sqref="Q3:Q24">
    <cfRule type="expression" dxfId="29" priority="92">
      <formula>AND(ISBLANK(Q3),SUM(COUNTIF(B3:T3,"&lt;&gt;"&amp;"")&gt;0))</formula>
    </cfRule>
  </conditionalFormatting>
  <conditionalFormatting sqref="R3:R24">
    <cfRule type="expression" dxfId="28" priority="93">
      <formula>AND(ISBLANK(R3),SUM(COUNTIF(B3:T3,"&lt;&gt;"&amp;"")&gt;0))</formula>
    </cfRule>
  </conditionalFormatting>
  <conditionalFormatting sqref="S3:S24">
    <cfRule type="expression" dxfId="27" priority="94">
      <formula>AND(ISBLANK(S3),SUM(COUNTIF(B3:T3,"&lt;&gt;"&amp;"")&gt;0))</formula>
    </cfRule>
  </conditionalFormatting>
  <conditionalFormatting sqref="T3:T24">
    <cfRule type="expression" dxfId="26" priority="95">
      <formula>AND(ISBLANK(T3),SUM(COUNTIF(B3:T3,"&lt;&gt;"&amp;"")&gt;0))</formula>
    </cfRule>
  </conditionalFormatting>
  <conditionalFormatting sqref="D3">
    <cfRule type="expression" dxfId="25" priority="27">
      <formula>AND(ISBLANK(D3),SUM(COUNTIF(C3:U3,"&lt;&gt;"&amp;"")&gt;0))</formula>
    </cfRule>
  </conditionalFormatting>
  <conditionalFormatting sqref="D4">
    <cfRule type="expression" dxfId="24" priority="26">
      <formula>AND(ISBLANK(D4),SUM(COUNTIF(C4:U4,"&lt;&gt;"&amp;"")&gt;0))</formula>
    </cfRule>
  </conditionalFormatting>
  <conditionalFormatting sqref="D6">
    <cfRule type="expression" dxfId="23" priority="25">
      <formula>AND(ISBLANK(D6),SUM(COUNTIF(C6:U6,"&lt;&gt;"&amp;"")&gt;0))</formula>
    </cfRule>
  </conditionalFormatting>
  <conditionalFormatting sqref="D12">
    <cfRule type="expression" dxfId="22" priority="24">
      <formula>AND(ISBLANK(D12),SUM(COUNTIF(C12:U12,"&lt;&gt;"&amp;"")&gt;0))</formula>
    </cfRule>
  </conditionalFormatting>
  <conditionalFormatting sqref="D14">
    <cfRule type="expression" dxfId="21" priority="23">
      <formula>AND(ISBLANK(D14),SUM(COUNTIF(C14:U14,"&lt;&gt;"&amp;"")&gt;0))</formula>
    </cfRule>
  </conditionalFormatting>
  <conditionalFormatting sqref="C25:U25">
    <cfRule type="expression" dxfId="20" priority="18">
      <formula>AND(ISBLANK(C25),SUM(COUNTIF(C25:U25,"&lt;&gt;"&amp;"")&gt;0))</formula>
    </cfRule>
  </conditionalFormatting>
  <conditionalFormatting sqref="D23">
    <cfRule type="expression" dxfId="19" priority="17">
      <formula>AND(ISBLANK(D23),SUM(COUNTIF(C23:U23,"&lt;&gt;"&amp;"")&gt;0))</formula>
    </cfRule>
  </conditionalFormatting>
  <conditionalFormatting sqref="D24">
    <cfRule type="expression" dxfId="18" priority="16">
      <formula>AND(ISBLANK(D24),SUM(COUNTIF(C24:U24,"&lt;&gt;"&amp;"")&gt;0))</formula>
    </cfRule>
  </conditionalFormatting>
  <conditionalFormatting sqref="D13">
    <cfRule type="expression" dxfId="17" priority="15">
      <formula>AND(ISBLANK(D13),SUM(COUNTIF(C13:U13,"&lt;&gt;"&amp;"")&gt;0))</formula>
    </cfRule>
  </conditionalFormatting>
  <conditionalFormatting sqref="D7">
    <cfRule type="expression" dxfId="16" priority="14">
      <formula>AND(ISBLANK(D7),SUM(COUNTIF(C7:U7,"&lt;&gt;"&amp;"")&gt;0))</formula>
    </cfRule>
  </conditionalFormatting>
  <conditionalFormatting sqref="C26:U26">
    <cfRule type="expression" dxfId="7" priority="13">
      <formula>AND(ISBLANK(C26),SUM(COUNTIF(C26:U26,"&lt;&gt;"&amp;"")&gt;0))</formula>
    </cfRule>
  </conditionalFormatting>
  <conditionalFormatting sqref="B27:U27">
    <cfRule type="expression" dxfId="15" priority="12">
      <formula>AND(ISBLANK(B27),SUM(COUNTIF(B27:T27,"&lt;&gt;"&amp;"")&gt;0))</formula>
    </cfRule>
  </conditionalFormatting>
  <conditionalFormatting sqref="B28 B30 B32 B34">
    <cfRule type="expression" dxfId="10" priority="10">
      <formula>AND(ISBLANK(B28),SUM(COUNTIF(B28:T28,"&lt;&gt;"&amp;"")&gt;0))</formula>
    </cfRule>
  </conditionalFormatting>
  <conditionalFormatting sqref="C28:S28 C30:S30 C32:S32 C34:S34 U28 U30 U32 U34">
    <cfRule type="expression" dxfId="9" priority="9">
      <formula>AND(ISBLANK(C28),SUM(COUNTIF(C28:U28,"&lt;&gt;"&amp;"")&gt;0))</formula>
    </cfRule>
  </conditionalFormatting>
  <conditionalFormatting sqref="B29:S29 B31:S31 B33:S33 U29 U31 U33">
    <cfRule type="expression" dxfId="8" priority="8">
      <formula>AND(ISBLANK(B29),SUM(COUNTIF(B29:T29,"&lt;&gt;"&amp;"")&gt;0))</formula>
    </cfRule>
  </conditionalFormatting>
  <conditionalFormatting sqref="T29">
    <cfRule type="expression" dxfId="6" priority="7">
      <formula>AND(ISBLANK(T29),SUM(COUNTIF(T29:AL29,"&lt;&gt;"&amp;"")&gt;0))</formula>
    </cfRule>
  </conditionalFormatting>
  <conditionalFormatting sqref="T31">
    <cfRule type="expression" dxfId="5" priority="6">
      <formula>AND(ISBLANK(T31),SUM(COUNTIF(T31:AL31,"&lt;&gt;"&amp;"")&gt;0))</formula>
    </cfRule>
  </conditionalFormatting>
  <conditionalFormatting sqref="T33">
    <cfRule type="expression" dxfId="4" priority="5">
      <formula>AND(ISBLANK(T33),SUM(COUNTIF(T33:AL33,"&lt;&gt;"&amp;"")&gt;0))</formula>
    </cfRule>
  </conditionalFormatting>
  <conditionalFormatting sqref="T28">
    <cfRule type="expression" dxfId="3" priority="4">
      <formula>AND(ISBLANK(T28),SUM(COUNTIF(T28:AL28,"&lt;&gt;"&amp;"")&gt;0))</formula>
    </cfRule>
  </conditionalFormatting>
  <conditionalFormatting sqref="T30">
    <cfRule type="expression" dxfId="2" priority="3">
      <formula>AND(ISBLANK(T30),SUM(COUNTIF(T30:AL30,"&lt;&gt;"&amp;"")&gt;0))</formula>
    </cfRule>
  </conditionalFormatting>
  <conditionalFormatting sqref="T32">
    <cfRule type="expression" dxfId="1" priority="2">
      <formula>AND(ISBLANK(T32),SUM(COUNTIF(T32:AL32,"&lt;&gt;"&amp;"")&gt;0))</formula>
    </cfRule>
  </conditionalFormatting>
  <conditionalFormatting sqref="T34">
    <cfRule type="expression" dxfId="0" priority="1">
      <formula>AND(ISBLANK(T34),SUM(COUNTIF(T34:AL34,"&lt;&gt;"&amp;"")&gt;0))</formula>
    </cfRule>
  </conditionalFormatting>
  <dataValidations count="14">
    <dataValidation type="textLength" operator="equal" allowBlank="1" showDropDown="1" showInputMessage="1" showErrorMessage="1" error="Please do not rename column; include identifying information about the data directly in the cell (e.g., &quot;Year built: 1978&quot;)" sqref="U2" xr:uid="{EA7E264A-64F1-4E93-808B-F66B13E5D72C}">
      <formula1>21</formula1>
    </dataValidation>
    <dataValidation type="whole" allowBlank="1" showInputMessage="1" showErrorMessage="1" errorTitle="Invalid format" error="Please enter the five-digit zip code" promptTitle="5 Digit ZIP Code" prompt="Enter the ZIP code. This information is necessary to locate some sites (Required)" sqref="C3:C24" xr:uid="{5A0A8CAC-0138-4E94-BE9C-872FC4C0BD08}">
      <formula1>10000</formula1>
      <formula2>99999</formula2>
    </dataValidation>
    <dataValidation type="decimal" allowBlank="1" showInputMessage="1" showErrorMessage="1" errorTitle="Invalid format" error="Please enter the very low-income unit count. If none, enter &quot;0&quot;" promptTitle="Very Low-Income Units" prompt="For each site, list the number of units that are affordable to very low-income households (Required)_x000a__x000a_If none, enter &quot;0&quot;" sqref="E3:E24" xr:uid="{AA36A5F0-7D39-4A79-895E-E70C0788C1F8}">
      <formula1>0</formula1>
      <formula2>9999999</formula2>
    </dataValidation>
    <dataValidation type="decimal" allowBlank="1" showInputMessage="1" showErrorMessage="1" errorTitle="Invalid format" error="Please enter the low-income unit count. If none, enter &quot;0&quot;" promptTitle="Low-Income Units" prompt="For each site, list the number of units that are affordable to low-income households (Required)_x000a__x000a_If none, enter &quot;0&quot;" sqref="F3:F24" xr:uid="{0521F709-C2E5-4860-A2AD-7EDF5D9C5469}">
      <formula1>0</formula1>
      <formula2>9999999</formula2>
    </dataValidation>
    <dataValidation type="decimal" allowBlank="1" showInputMessage="1" showErrorMessage="1" errorTitle="Invalid format" error="Please enter the moderate-income unit count. If none, enter &quot;0&quot;" promptTitle="Moderate-Income Units" prompt="For each site, list the number of units that are affordable to moderate-income households (Required)_x000a__x000a_If none, enter &quot;0&quot;" sqref="G3:G24" xr:uid="{3E5B1286-25C4-4E8C-9A9B-E3BAAC0CDFD8}">
      <formula1>0</formula1>
      <formula2>9999999</formula2>
    </dataValidation>
    <dataValidation type="decimal" allowBlank="1" showInputMessage="1" showErrorMessage="1" errorTitle="Invalid format" error="Please enter the above-moderate income unit count. If none, enter &quot;0&quot;" promptTitle="Above Moderate-Income Units" prompt="For each site, list the number of units that are affordable to above-moderate income households (Required)_x000a__x000a_If none, enter &quot;0&quot;" sqref="H3:H24" xr:uid="{2F378B7F-F25E-438B-8B2B-2672AE7BB728}">
      <formula1>0</formula1>
      <formula2>9999999</formula2>
    </dataValidation>
    <dataValidation type="decimal" allowBlank="1" showInputMessage="1" showErrorMessage="1" errorTitle="Invalid format" error="Please enter the parcel size in acres. Numerical entries only." promptTitle="Parcel Size (acres)" prompt="Enter the size of the parcel in acres (Requred)" sqref="J3:J24" xr:uid="{51A9FB2E-B9C7-4A26-A073-0D2A7CFAB489}">
      <formula1>0.00001</formula1>
      <formula2>9999999</formula2>
    </dataValidation>
    <dataValidation allowBlank="1" showInputMessage="1" showErrorMessage="1" error="Please enter the proposed General Plan designation. If no changes will be made, enter the current designation." promptTitle="Proposed GP Designation" prompt="Enter the General Plan Land Use designation associated with the proposed zoning. If no change will be made, enter the current designation (Required)" sqref="M3:M24 M27" xr:uid="{37317594-C328-403E-986B-BB9B45F4C51B}"/>
    <dataValidation type="decimal" allowBlank="1" showInputMessage="1" showErrorMessage="1" errorTitle="Invalid format" error="Please enter the minimum density. If none, enter &quot;0&quot;. Numeric entries only." promptTitle="Minimum Density Allowed " prompt="Enter the minimum density allowed on each parcel. This is the density allowed after any zoning amendments are made (Required)_x000a__x000a_If there will be no minimum density, enter &quot;0&quot; " sqref="O3:O24" xr:uid="{F8A871E2-A63A-4C1B-975E-47AA16325BB0}">
      <formula1>0</formula1>
      <formula2>9999999</formula2>
    </dataValidation>
    <dataValidation type="decimal" allowBlank="1" showInputMessage="1" showErrorMessage="1" errorTitle="Invalid format" error="Please enter the maximum density. If none, enter &quot;0&quot;. Numeric entries only." promptTitle="Maximum Density Allowed" prompt="Enter the maximum density allowed on each parcel. This is the density allowed after any zoning amendments are made (Required)_x000a__x000a_If there is no maximum density, enter &quot;0&quot;." sqref="P3:P24" xr:uid="{29A5DDD4-BA39-4ABA-81C8-8A38BACA8029}">
      <formula1>0.00001</formula1>
      <formula2>9999999</formula2>
    </dataValidation>
    <dataValidation type="whole" operator="greaterThanOrEqual" allowBlank="1" showInputMessage="1" showErrorMessage="1" errorTitle="Invalid format" error="Please enter the estimated total unit capacity. Numerical entries only." promptTitle="Total Capacity" prompt="Enter the estimated realistic unit capacity for each parcel (Required)" sqref="Q3:Q24" xr:uid="{817B6861-E776-4A9C-9721-20ECF5822292}">
      <formula1>0</formula1>
    </dataValidation>
    <dataValidation allowBlank="1" showInputMessage="1" showErrorMessage="1" promptTitle="Site Address/Intersection" prompt="Enter the number and name of street, if available. This information is necessary to locate some sites (Required)_x000a__x000a_Enter an intersection, if, and only if, a site address is not available." sqref="B3:B24" xr:uid="{90C62C9D-D5F7-4A4B-966F-FD202AF08B1D}"/>
    <dataValidation allowBlank="1" showInputMessage="1" showErrorMessage="1" error="Please enter the current General Plan designation" promptTitle="Current General Plan Designation" prompt="Enter the current General Plan Land Use designation before any proposed changes are made (Required)" sqref="K3:K24" xr:uid="{89B7CE77-9C0D-47EA-88E3-9A89B7C6D323}"/>
    <dataValidation allowBlank="1" showInputMessage="1" showErrorMessage="1" promptTitle="Optional Information1" prompt="Please enter any information you wish to convey about this parcel not covered by other fields in the form. See the instructions for examples of the information that can be reflected here." sqref="U3:U24" xr:uid="{34CDA1AC-E9A4-474E-832C-8005389B9AB5}"/>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D159E-D8A1-4837-B12B-D742CDB3356E}">
  <dimension ref="A2:B25"/>
  <sheetViews>
    <sheetView topLeftCell="A14" workbookViewId="0">
      <selection activeCell="A35" sqref="A35"/>
    </sheetView>
  </sheetViews>
  <sheetFormatPr defaultRowHeight="14.4" x14ac:dyDescent="0.3"/>
  <cols>
    <col min="1" max="1" width="45.44140625" customWidth="1"/>
    <col min="2" max="2" width="254" bestFit="1" customWidth="1"/>
  </cols>
  <sheetData>
    <row r="2" spans="1:2" ht="55.2" x14ac:dyDescent="0.3">
      <c r="A2" s="10" t="s">
        <v>899</v>
      </c>
      <c r="B2" s="10" t="s">
        <v>900</v>
      </c>
    </row>
    <row r="3" spans="1:2" ht="15.6" x14ac:dyDescent="0.3">
      <c r="A3" s="6" t="s">
        <v>901</v>
      </c>
      <c r="B3" s="6" t="s">
        <v>902</v>
      </c>
    </row>
    <row r="4" spans="1:2" ht="15.6" x14ac:dyDescent="0.3">
      <c r="A4" s="7" t="s">
        <v>903</v>
      </c>
      <c r="B4" s="7" t="s">
        <v>904</v>
      </c>
    </row>
    <row r="5" spans="1:2" ht="15.6" x14ac:dyDescent="0.3">
      <c r="A5" s="6" t="s">
        <v>905</v>
      </c>
      <c r="B5" s="6" t="s">
        <v>904</v>
      </c>
    </row>
    <row r="6" spans="1:2" ht="15.6" x14ac:dyDescent="0.3">
      <c r="A6" s="7" t="s">
        <v>500</v>
      </c>
      <c r="B6" s="7" t="s">
        <v>904</v>
      </c>
    </row>
    <row r="7" spans="1:2" ht="15.6" x14ac:dyDescent="0.3">
      <c r="A7" s="6" t="s">
        <v>516</v>
      </c>
      <c r="B7" s="6" t="s">
        <v>906</v>
      </c>
    </row>
    <row r="8" spans="1:2" ht="15.6" x14ac:dyDescent="0.3">
      <c r="A8" s="7" t="s">
        <v>584</v>
      </c>
      <c r="B8" s="7" t="s">
        <v>907</v>
      </c>
    </row>
    <row r="9" spans="1:2" ht="15.6" x14ac:dyDescent="0.3">
      <c r="A9" s="6" t="s">
        <v>594</v>
      </c>
      <c r="B9" s="6" t="s">
        <v>907</v>
      </c>
    </row>
    <row r="10" spans="1:2" ht="15.6" x14ac:dyDescent="0.3">
      <c r="A10" s="7" t="s">
        <v>585</v>
      </c>
      <c r="B10" s="7" t="s">
        <v>908</v>
      </c>
    </row>
    <row r="11" spans="1:2" ht="15.6" x14ac:dyDescent="0.3">
      <c r="A11" s="6" t="s">
        <v>909</v>
      </c>
      <c r="B11" s="6" t="s">
        <v>910</v>
      </c>
    </row>
    <row r="12" spans="1:2" ht="15.6" x14ac:dyDescent="0.3">
      <c r="A12" s="7" t="s">
        <v>911</v>
      </c>
      <c r="B12" s="7" t="s">
        <v>912</v>
      </c>
    </row>
    <row r="13" spans="1:2" ht="15.6" x14ac:dyDescent="0.3">
      <c r="A13" s="6" t="s">
        <v>913</v>
      </c>
      <c r="B13" s="6" t="s">
        <v>914</v>
      </c>
    </row>
    <row r="14" spans="1:2" ht="15.6" x14ac:dyDescent="0.3">
      <c r="A14" s="7" t="s">
        <v>507</v>
      </c>
      <c r="B14" s="7" t="s">
        <v>915</v>
      </c>
    </row>
    <row r="15" spans="1:2" ht="15.6" x14ac:dyDescent="0.3">
      <c r="A15" s="6" t="s">
        <v>593</v>
      </c>
      <c r="B15" s="6" t="s">
        <v>916</v>
      </c>
    </row>
    <row r="16" spans="1:2" ht="15.6" x14ac:dyDescent="0.3">
      <c r="A16" s="7" t="s">
        <v>917</v>
      </c>
      <c r="B16" s="7" t="s">
        <v>918</v>
      </c>
    </row>
    <row r="17" spans="1:2" ht="15.6" x14ac:dyDescent="0.3">
      <c r="A17" s="6" t="s">
        <v>589</v>
      </c>
      <c r="B17" s="6" t="s">
        <v>919</v>
      </c>
    </row>
    <row r="18" spans="1:2" ht="15.6" x14ac:dyDescent="0.3">
      <c r="A18" s="7" t="s">
        <v>583</v>
      </c>
      <c r="B18" s="7" t="s">
        <v>920</v>
      </c>
    </row>
    <row r="19" spans="1:2" ht="15.6" x14ac:dyDescent="0.3">
      <c r="A19" s="6" t="s">
        <v>921</v>
      </c>
      <c r="B19" s="6" t="s">
        <v>922</v>
      </c>
    </row>
    <row r="20" spans="1:2" ht="15.6" x14ac:dyDescent="0.3">
      <c r="A20" s="7" t="s">
        <v>923</v>
      </c>
      <c r="B20" s="7" t="s">
        <v>924</v>
      </c>
    </row>
    <row r="21" spans="1:2" ht="15.6" x14ac:dyDescent="0.3">
      <c r="A21" s="6" t="s">
        <v>590</v>
      </c>
      <c r="B21" s="6" t="s">
        <v>925</v>
      </c>
    </row>
    <row r="22" spans="1:2" ht="15.6" x14ac:dyDescent="0.3">
      <c r="A22" s="7" t="s">
        <v>926</v>
      </c>
      <c r="B22" s="7" t="s">
        <v>927</v>
      </c>
    </row>
    <row r="23" spans="1:2" ht="15.6" x14ac:dyDescent="0.3">
      <c r="A23" s="6" t="s">
        <v>587</v>
      </c>
      <c r="B23" s="6" t="s">
        <v>928</v>
      </c>
    </row>
    <row r="24" spans="1:2" ht="15.6" x14ac:dyDescent="0.3">
      <c r="A24" s="7" t="s">
        <v>588</v>
      </c>
      <c r="B24" s="7" t="s">
        <v>929</v>
      </c>
    </row>
    <row r="25" spans="1:2" ht="15.6" x14ac:dyDescent="0.3">
      <c r="A25" s="6" t="s">
        <v>96</v>
      </c>
      <c r="B25" s="6" t="s">
        <v>930</v>
      </c>
    </row>
  </sheetData>
  <conditionalFormatting sqref="A25">
    <cfRule type="expression" dxfId="13" priority="3">
      <formula>AND(ISBLANK(A25),SUM(COUNTIF(A25:B25,"&lt;&gt;"&amp;"")&gt;0))</formula>
    </cfRule>
  </conditionalFormatting>
  <conditionalFormatting sqref="B3:B25">
    <cfRule type="expression" dxfId="12" priority="2">
      <formula>AND(ISBLANK(B3),SUM(COUNTIF(A3:B3,"&lt;&gt;"&amp;"")&gt;0))</formula>
    </cfRule>
  </conditionalFormatting>
  <conditionalFormatting sqref="A3:A24">
    <cfRule type="expression" dxfId="11" priority="1">
      <formula>AND(ISBLANK(A3),SUM(COUNTIF(A3:B3,"&lt;&gt;"&amp;"")&gt;0))</formula>
    </cfRule>
  </conditionalFormatting>
  <dataValidations count="2">
    <dataValidation operator="greaterThan" allowBlank="1" showInputMessage="1" error="This is not a form field. Please press Tab to continue." promptTitle="Zoning Designation" prompt="Enter the zoning designations for sites reported on Tables A and B. Each zoning designation should be entered on a separate row." sqref="A3:A25" xr:uid="{D0D0D38C-3A4D-4975-8B81-66E9A8985505}"/>
    <dataValidation operator="greaterThan" allowBlank="1" showInputMessage="1" error="This is not a form field. Please press Tab to continue." promptTitle="Land Uses Allowed" prompt="For each zoning designation listed Column A, enter the corresponding Land Uses Allowed in Column B, and a reference or link to the applicable section of the local code." sqref="B3:B25" xr:uid="{86CACBB9-CA2A-4981-A4B1-AF945FD9901E}"/>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191620-0153-4acc-a89a-219ae713f494" xsi:nil="true"/>
    <lcf76f155ced4ddcb4097134ff3c332f xmlns="00362605-1254-402e-919f-052ac8d959b4">
      <Terms xmlns="http://schemas.microsoft.com/office/infopath/2007/PartnerControls"/>
    </lcf76f155ced4ddcb4097134ff3c332f>
    <SharedWithUsers xmlns="9250bbdb-ec10-4a9f-a122-b8f3bda176da">
      <UserInfo>
        <DisplayName>Cheng, Calvin</DisplayName>
        <AccountId>511</AccountId>
        <AccountType/>
      </UserInfo>
      <UserInfo>
        <DisplayName>Cueto, Ruth</DisplayName>
        <AccountId>31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B342A16072B6478A5BEF3BEC52C305" ma:contentTypeVersion="15" ma:contentTypeDescription="Create a new document." ma:contentTypeScope="" ma:versionID="d6c38162be5d7ef3b2110cb1474d556d">
  <xsd:schema xmlns:xsd="http://www.w3.org/2001/XMLSchema" xmlns:xs="http://www.w3.org/2001/XMLSchema" xmlns:p="http://schemas.microsoft.com/office/2006/metadata/properties" xmlns:ns2="00362605-1254-402e-919f-052ac8d959b4" xmlns:ns3="9250bbdb-ec10-4a9f-a122-b8f3bda176da" xmlns:ns4="8b191620-0153-4acc-a89a-219ae713f494" targetNamespace="http://schemas.microsoft.com/office/2006/metadata/properties" ma:root="true" ma:fieldsID="122c9698ab5708be977b07183efc86b0" ns2:_="" ns3:_="" ns4:_="">
    <xsd:import namespace="00362605-1254-402e-919f-052ac8d959b4"/>
    <xsd:import namespace="9250bbdb-ec10-4a9f-a122-b8f3bda176da"/>
    <xsd:import namespace="8b191620-0153-4acc-a89a-219ae713f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362605-1254-402e-919f-052ac8d959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ce5f2ac-bb83-4a84-bbbc-4691dad9ed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0bbdb-ec10-4a9f-a122-b8f3bda176d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191620-0153-4acc-a89a-219ae713f4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a1b4dc4-2c7b-406f-b04e-4172f2394d79}" ma:internalName="TaxCatchAll" ma:showField="CatchAllData" ma:web="9250bbdb-ec10-4a9f-a122-b8f3bda176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3AF88B-14FA-43DE-8D54-B5FF76E6533B}">
  <ds:schemaRefs>
    <ds:schemaRef ds:uri="http://schemas.microsoft.com/office/infopath/2007/PartnerControls"/>
    <ds:schemaRef ds:uri="http://purl.org/dc/elements/1.1/"/>
    <ds:schemaRef ds:uri="http://schemas.microsoft.com/office/2006/metadata/properties"/>
    <ds:schemaRef ds:uri="00362605-1254-402e-919f-052ac8d959b4"/>
    <ds:schemaRef ds:uri="http://purl.org/dc/terms/"/>
    <ds:schemaRef ds:uri="http://schemas.openxmlformats.org/package/2006/metadata/core-properties"/>
    <ds:schemaRef ds:uri="8b191620-0153-4acc-a89a-219ae713f494"/>
    <ds:schemaRef ds:uri="http://schemas.microsoft.com/office/2006/documentManagement/types"/>
    <ds:schemaRef ds:uri="9250bbdb-ec10-4a9f-a122-b8f3bda176da"/>
    <ds:schemaRef ds:uri="http://www.w3.org/XML/1998/namespace"/>
    <ds:schemaRef ds:uri="http://purl.org/dc/dcmitype/"/>
  </ds:schemaRefs>
</ds:datastoreItem>
</file>

<file path=customXml/itemProps2.xml><?xml version="1.0" encoding="utf-8"?>
<ds:datastoreItem xmlns:ds="http://schemas.openxmlformats.org/officeDocument/2006/customXml" ds:itemID="{41ED8B63-03F9-4AE3-8ACE-C33FD64E59A9}">
  <ds:schemaRefs>
    <ds:schemaRef ds:uri="http://schemas.microsoft.com/sharepoint/v3/contenttype/forms"/>
  </ds:schemaRefs>
</ds:datastoreItem>
</file>

<file path=customXml/itemProps3.xml><?xml version="1.0" encoding="utf-8"?>
<ds:datastoreItem xmlns:ds="http://schemas.openxmlformats.org/officeDocument/2006/customXml" ds:itemID="{998AE626-7749-40E7-93EA-9D7B6DD8E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362605-1254-402e-919f-052ac8d959b4"/>
    <ds:schemaRef ds:uri="9250bbdb-ec10-4a9f-a122-b8f3bda176da"/>
    <ds:schemaRef ds:uri="8b191620-0153-4acc-a89a-219ae713f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A</vt:lpstr>
      <vt:lpstr>TABLE B</vt:lpstr>
      <vt:lpstr>TABLE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Cueto, Ruth</dc:creator>
  <cp:lastModifiedBy>Cueto, Ruth</cp:lastModifiedBy>
  <dcterms:created xsi:type="dcterms:W3CDTF">2023-11-14T18:58:37Z</dcterms:created>
  <dcterms:modified xsi:type="dcterms:W3CDTF">2023-11-15T06:16:09Z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0x01010090B342A16072B6478A5BEF3BEC52C305</vt:lpwstr>
  </property>
  <property fmtid="{D5CDD505-2E9C-101B-9397-08002B2CF9AE}" pid="3" name="MediaServiceImageTags">
    <vt:lpwstr/>
  </property>
</Properties>
</file>