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sanjoseca.sharepoint.com/sites/PBCE_Mod_Planning_CitywidePlanning/Shared Documents/Housing Team/Housing Element - 6th Cycle/DRAFT DOCUMENT/5 - Drafts for Hearings/FOR POSTING/Appendices - FINAL for PC/"/>
    </mc:Choice>
  </mc:AlternateContent>
  <xr:revisionPtr revIDLastSave="35" documentId="8_{CDDFF1D5-D9FC-49E6-8E6F-5547355C3431}" xr6:coauthVersionLast="47" xr6:coauthVersionMax="47" xr10:uidLastSave="{5518B044-308F-4C2D-B004-5D76728EA070}"/>
  <bookViews>
    <workbookView xWindow="42810" yWindow="2520" windowWidth="31605" windowHeight="14970" activeTab="2" xr2:uid="{00000000-000D-0000-FFFF-FFFF00000000}"/>
  </bookViews>
  <sheets>
    <sheet name="Table A" sheetId="2" r:id="rId1"/>
    <sheet name="Table B" sheetId="3" r:id="rId2"/>
    <sheet name="Table C" sheetId="4" r:id="rId3"/>
  </sheets>
  <definedNames>
    <definedName name="_xlnm._FilterDatabase" localSheetId="0" hidden="1">'Table A'!$A$2:$T$476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4" i="2" l="1"/>
  <c r="D417" i="2"/>
  <c r="P476" i="2"/>
  <c r="P475" i="2"/>
  <c r="P472" i="2"/>
  <c r="P470" i="2"/>
  <c r="P468" i="2"/>
  <c r="P466" i="2"/>
  <c r="P465" i="2"/>
  <c r="P464" i="2"/>
  <c r="P463" i="2"/>
  <c r="P462" i="2"/>
  <c r="P461" i="2"/>
  <c r="P460" i="2"/>
  <c r="P459" i="2"/>
  <c r="P458" i="2"/>
  <c r="P457" i="2"/>
  <c r="P456" i="2"/>
  <c r="P454" i="2"/>
  <c r="P452" i="2"/>
  <c r="P450" i="2"/>
  <c r="P449" i="2"/>
  <c r="P448" i="2"/>
  <c r="P447" i="2"/>
  <c r="P446" i="2"/>
  <c r="P445" i="2"/>
  <c r="P444" i="2"/>
  <c r="P442" i="2"/>
  <c r="P438" i="2"/>
  <c r="P436" i="2"/>
  <c r="P435" i="2"/>
  <c r="P434" i="2"/>
  <c r="P433" i="2"/>
  <c r="P432" i="2"/>
  <c r="P430" i="2"/>
  <c r="P424" i="2"/>
  <c r="P422" i="2"/>
  <c r="P418" i="2"/>
  <c r="P416" i="2"/>
  <c r="P414" i="2"/>
  <c r="P413" i="2"/>
  <c r="P411" i="2"/>
  <c r="P395" i="2"/>
  <c r="P375" i="2"/>
  <c r="P374" i="2"/>
  <c r="P373" i="2"/>
  <c r="P372" i="2"/>
  <c r="P371" i="2"/>
  <c r="P369" i="2"/>
  <c r="P365" i="2"/>
  <c r="P364" i="2"/>
  <c r="P363" i="2"/>
  <c r="P362" i="2"/>
  <c r="P361" i="2"/>
  <c r="P360" i="2"/>
  <c r="P359" i="2"/>
  <c r="P358" i="2"/>
  <c r="P357" i="2"/>
  <c r="P356" i="2"/>
  <c r="P355" i="2"/>
  <c r="P354" i="2"/>
  <c r="P353" i="2"/>
  <c r="P352" i="2"/>
  <c r="P351" i="2"/>
  <c r="P350" i="2"/>
  <c r="P349" i="2"/>
  <c r="P346" i="2"/>
  <c r="P345" i="2"/>
  <c r="P344" i="2"/>
  <c r="P343" i="2"/>
  <c r="P342" i="2"/>
  <c r="P341" i="2"/>
  <c r="P340" i="2"/>
  <c r="P339" i="2"/>
  <c r="P338" i="2"/>
  <c r="P336" i="2"/>
  <c r="P335" i="2"/>
  <c r="P334" i="2"/>
  <c r="P333" i="2"/>
  <c r="P332" i="2"/>
  <c r="P331" i="2"/>
  <c r="P330" i="2"/>
  <c r="P329" i="2"/>
  <c r="P328" i="2"/>
  <c r="P327" i="2"/>
  <c r="P321" i="2"/>
  <c r="P320" i="2"/>
  <c r="P319" i="2"/>
  <c r="P318" i="2"/>
  <c r="P317" i="2"/>
  <c r="P316" i="2"/>
  <c r="P315" i="2"/>
  <c r="P314" i="2"/>
  <c r="P313" i="2"/>
  <c r="P312" i="2"/>
  <c r="P311" i="2"/>
  <c r="P310" i="2"/>
  <c r="P309" i="2"/>
  <c r="P306" i="2"/>
  <c r="P304" i="2"/>
  <c r="P303" i="2"/>
  <c r="P302" i="2"/>
  <c r="P301" i="2"/>
  <c r="P300" i="2"/>
  <c r="P299" i="2"/>
  <c r="P298" i="2"/>
  <c r="P297" i="2"/>
  <c r="P296" i="2"/>
  <c r="P294" i="2"/>
  <c r="P292" i="2"/>
  <c r="P291" i="2"/>
  <c r="P273" i="2"/>
  <c r="P272" i="2"/>
  <c r="P271" i="2"/>
  <c r="P270" i="2"/>
  <c r="P269" i="2"/>
  <c r="P268" i="2"/>
  <c r="P267" i="2"/>
  <c r="P266" i="2"/>
  <c r="P265" i="2"/>
  <c r="P260" i="2"/>
  <c r="P259" i="2"/>
  <c r="P258" i="2"/>
  <c r="P257" i="2"/>
  <c r="P256" i="2"/>
  <c r="P255" i="2"/>
  <c r="P254" i="2"/>
  <c r="P253" i="2"/>
  <c r="P252" i="2"/>
  <c r="P251" i="2"/>
  <c r="P250" i="2"/>
  <c r="P249" i="2"/>
  <c r="P248" i="2"/>
  <c r="P247" i="2"/>
  <c r="P246" i="2"/>
  <c r="P245" i="2"/>
  <c r="P244" i="2"/>
  <c r="P243" i="2"/>
  <c r="P242" i="2"/>
  <c r="P241" i="2"/>
  <c r="P240" i="2"/>
  <c r="P239" i="2"/>
  <c r="P238" i="2"/>
  <c r="P237" i="2"/>
  <c r="P236" i="2"/>
  <c r="P235" i="2"/>
  <c r="P234" i="2"/>
  <c r="P233" i="2"/>
  <c r="P232" i="2"/>
  <c r="P231" i="2"/>
  <c r="P230" i="2"/>
  <c r="P229" i="2"/>
  <c r="P228" i="2"/>
  <c r="P227" i="2"/>
  <c r="P226" i="2"/>
  <c r="P225" i="2"/>
  <c r="P224" i="2"/>
  <c r="P223" i="2"/>
  <c r="P222" i="2"/>
  <c r="P221" i="2"/>
  <c r="P220" i="2"/>
  <c r="P216" i="2"/>
  <c r="P215" i="2"/>
  <c r="P214" i="2"/>
  <c r="P213" i="2"/>
  <c r="P212" i="2"/>
  <c r="P209" i="2"/>
  <c r="P204" i="2"/>
  <c r="P203" i="2"/>
  <c r="P196" i="2"/>
  <c r="P195" i="2"/>
  <c r="P194" i="2"/>
  <c r="P191" i="2"/>
  <c r="P185" i="2"/>
  <c r="P183" i="2"/>
  <c r="P143" i="2"/>
  <c r="P142" i="2"/>
  <c r="P132" i="2"/>
  <c r="P131" i="2"/>
  <c r="P130" i="2"/>
  <c r="P129" i="2"/>
  <c r="P126" i="2"/>
  <c r="P125" i="2"/>
  <c r="P124" i="2"/>
  <c r="P123" i="2"/>
  <c r="P121" i="2"/>
  <c r="P115" i="2"/>
  <c r="P109" i="2"/>
  <c r="P108" i="2"/>
  <c r="P107" i="2"/>
  <c r="P106" i="2"/>
  <c r="P92" i="2"/>
  <c r="P81" i="2"/>
  <c r="P78" i="2"/>
  <c r="P77" i="2"/>
  <c r="P76" i="2"/>
  <c r="P73" i="2"/>
  <c r="P72" i="2"/>
  <c r="P70" i="2"/>
  <c r="P48" i="2"/>
  <c r="P44" i="2"/>
  <c r="P37" i="2"/>
  <c r="P35" i="2"/>
  <c r="P34" i="2"/>
  <c r="P33" i="2"/>
  <c r="P30" i="2"/>
  <c r="P29" i="2"/>
  <c r="P24" i="2"/>
  <c r="P21" i="2"/>
  <c r="P16" i="2"/>
  <c r="P11" i="2"/>
  <c r="P9" i="2"/>
  <c r="Q467" i="2"/>
  <c r="Q453" i="2"/>
  <c r="Q443" i="2"/>
  <c r="Q441" i="2"/>
  <c r="Q427" i="2"/>
  <c r="Q426" i="2"/>
  <c r="Q425" i="2"/>
  <c r="Q391" i="2"/>
  <c r="Q386" i="2"/>
  <c r="Q385" i="2"/>
  <c r="Q382" i="2"/>
  <c r="Q380" i="2"/>
  <c r="Q379" i="2"/>
  <c r="Q295" i="2"/>
  <c r="Q275" i="2"/>
  <c r="Q211" i="2"/>
  <c r="Q205" i="2"/>
  <c r="Q202" i="2"/>
  <c r="Q192" i="2"/>
  <c r="Q187" i="2"/>
  <c r="Q186" i="2"/>
  <c r="Q158" i="2"/>
  <c r="Q140" i="2"/>
  <c r="Q139" i="2"/>
  <c r="Q135" i="2"/>
  <c r="Q133" i="2"/>
  <c r="Q128" i="2"/>
  <c r="Q119" i="2"/>
  <c r="Q118" i="2"/>
  <c r="Q114" i="2"/>
  <c r="Q113" i="2"/>
  <c r="Q99" i="2"/>
  <c r="Q98" i="2"/>
  <c r="Q97" i="2"/>
  <c r="Q95" i="2"/>
  <c r="Q87" i="2"/>
  <c r="Q83" i="2"/>
  <c r="Q79" i="2"/>
  <c r="Q75" i="2"/>
  <c r="Q74" i="2"/>
  <c r="Q68" i="2"/>
  <c r="Q66" i="2"/>
  <c r="Q65" i="2"/>
  <c r="Q64" i="2"/>
  <c r="Q32" i="2"/>
  <c r="Q31" i="2"/>
  <c r="Q22" i="2"/>
  <c r="Q15" i="2"/>
  <c r="Q14" i="2"/>
  <c r="O474" i="2"/>
  <c r="O473" i="2"/>
  <c r="O471" i="2"/>
  <c r="O469" i="2"/>
  <c r="O455" i="2"/>
  <c r="O451" i="2"/>
  <c r="O440" i="2"/>
  <c r="O439" i="2"/>
  <c r="O437" i="2"/>
  <c r="O431" i="2"/>
  <c r="O429" i="2"/>
  <c r="O428" i="2"/>
  <c r="O421" i="2"/>
  <c r="O420" i="2"/>
  <c r="O419" i="2"/>
  <c r="O417" i="2"/>
  <c r="O415" i="2"/>
  <c r="O410" i="2"/>
  <c r="O408" i="2"/>
  <c r="O407" i="2"/>
  <c r="O406" i="2"/>
  <c r="O405" i="2"/>
  <c r="O396" i="2"/>
  <c r="O394" i="2"/>
  <c r="O393" i="2"/>
  <c r="O392" i="2"/>
  <c r="O389" i="2"/>
  <c r="O388" i="2"/>
  <c r="O387" i="2"/>
  <c r="O384" i="2"/>
  <c r="O383" i="2"/>
  <c r="O378" i="2"/>
  <c r="O376" i="2"/>
  <c r="O370" i="2"/>
  <c r="O368" i="2"/>
  <c r="O367" i="2"/>
  <c r="O366" i="2"/>
  <c r="O348" i="2"/>
  <c r="O347" i="2"/>
  <c r="O337" i="2"/>
  <c r="O326" i="2"/>
  <c r="O325" i="2"/>
  <c r="O324" i="2"/>
  <c r="O323" i="2"/>
  <c r="O322" i="2"/>
  <c r="O308" i="2"/>
  <c r="O307" i="2"/>
  <c r="O305" i="2"/>
  <c r="O293" i="2"/>
  <c r="O290" i="2"/>
  <c r="O289" i="2"/>
  <c r="O288" i="2"/>
  <c r="O287" i="2"/>
  <c r="O286" i="2"/>
  <c r="O285" i="2"/>
  <c r="O284" i="2"/>
  <c r="O283" i="2"/>
  <c r="O282" i="2"/>
  <c r="O281" i="2"/>
  <c r="O280" i="2"/>
  <c r="O279" i="2"/>
  <c r="O278" i="2"/>
  <c r="O277" i="2"/>
  <c r="O276" i="2"/>
  <c r="O274" i="2"/>
  <c r="O264" i="2"/>
  <c r="O263" i="2"/>
  <c r="O262" i="2"/>
  <c r="O261" i="2"/>
  <c r="O219" i="2"/>
  <c r="O218" i="2"/>
  <c r="O217" i="2"/>
  <c r="O210" i="2"/>
  <c r="O208" i="2"/>
  <c r="O207" i="2"/>
  <c r="O206" i="2"/>
  <c r="O201" i="2"/>
  <c r="O200" i="2"/>
  <c r="O199" i="2"/>
  <c r="O198" i="2"/>
  <c r="O197" i="2"/>
  <c r="O193" i="2"/>
  <c r="O190" i="2"/>
  <c r="O189" i="2"/>
  <c r="O188" i="2"/>
  <c r="O184" i="2"/>
  <c r="O182" i="2"/>
  <c r="O181" i="2"/>
  <c r="O180" i="2"/>
  <c r="O179" i="2"/>
  <c r="O178" i="2"/>
  <c r="O177" i="2"/>
  <c r="O176" i="2"/>
  <c r="O175" i="2"/>
  <c r="O174" i="2"/>
  <c r="O173" i="2"/>
  <c r="O172" i="2"/>
  <c r="O171" i="2"/>
  <c r="O170" i="2"/>
  <c r="O169" i="2"/>
  <c r="O168" i="2"/>
  <c r="O167" i="2"/>
  <c r="O166" i="2"/>
  <c r="O165" i="2"/>
  <c r="O164" i="2"/>
  <c r="O163" i="2"/>
  <c r="O162" i="2"/>
  <c r="O161" i="2"/>
  <c r="O160" i="2"/>
  <c r="O159" i="2"/>
  <c r="O157" i="2"/>
  <c r="O156" i="2"/>
  <c r="O155" i="2"/>
  <c r="O154" i="2"/>
  <c r="O153" i="2"/>
  <c r="O152" i="2"/>
  <c r="O151" i="2"/>
  <c r="O150" i="2"/>
  <c r="O149" i="2"/>
  <c r="O148" i="2"/>
  <c r="O147" i="2"/>
  <c r="O146" i="2"/>
  <c r="O145" i="2"/>
  <c r="O144" i="2"/>
  <c r="O141" i="2"/>
  <c r="O138" i="2"/>
  <c r="O137" i="2"/>
  <c r="O136" i="2"/>
  <c r="O134" i="2"/>
  <c r="O127" i="2"/>
  <c r="O122" i="2"/>
  <c r="O120" i="2"/>
  <c r="O117" i="2"/>
  <c r="O116" i="2"/>
  <c r="O112" i="2"/>
  <c r="O111" i="2"/>
  <c r="O110" i="2"/>
  <c r="O105" i="2"/>
  <c r="O104" i="2"/>
  <c r="O103" i="2"/>
  <c r="O102" i="2"/>
  <c r="O101" i="2"/>
  <c r="O100" i="2"/>
  <c r="O96" i="2"/>
  <c r="O94" i="2"/>
  <c r="O93" i="2"/>
  <c r="O91" i="2"/>
  <c r="O90" i="2"/>
  <c r="O89" i="2"/>
  <c r="O88" i="2"/>
  <c r="O86" i="2"/>
  <c r="O85" i="2"/>
  <c r="O84" i="2"/>
  <c r="O82" i="2"/>
  <c r="O80" i="2"/>
  <c r="O71" i="2"/>
  <c r="O69" i="2"/>
  <c r="O67" i="2"/>
  <c r="O63" i="2"/>
  <c r="O62" i="2"/>
  <c r="O61" i="2"/>
  <c r="O60" i="2"/>
  <c r="O59" i="2"/>
  <c r="O58" i="2"/>
  <c r="O57" i="2"/>
  <c r="O56" i="2"/>
  <c r="O55" i="2"/>
  <c r="O54" i="2"/>
  <c r="O53" i="2"/>
  <c r="O52" i="2"/>
  <c r="O51" i="2"/>
  <c r="O50" i="2"/>
  <c r="O49" i="2"/>
  <c r="O47" i="2"/>
  <c r="O46" i="2"/>
  <c r="O45" i="2"/>
  <c r="O43" i="2"/>
  <c r="O42" i="2"/>
  <c r="O41" i="2"/>
  <c r="O40" i="2"/>
  <c r="O39" i="2"/>
  <c r="O38" i="2"/>
  <c r="O36" i="2"/>
  <c r="O28" i="2"/>
  <c r="O27" i="2"/>
  <c r="O26" i="2"/>
  <c r="O25" i="2"/>
  <c r="O23" i="2"/>
  <c r="O20" i="2"/>
  <c r="O19" i="2"/>
  <c r="O18" i="2"/>
  <c r="O17" i="2"/>
  <c r="O13" i="2"/>
  <c r="O12" i="2"/>
  <c r="O10" i="2"/>
  <c r="O8" i="2"/>
  <c r="O7" i="2"/>
  <c r="O5" i="2"/>
  <c r="O4" i="2"/>
  <c r="O3" i="2"/>
  <c r="D476" i="2"/>
  <c r="D475" i="2"/>
  <c r="D473" i="2"/>
  <c r="D472" i="2"/>
  <c r="D471" i="2"/>
  <c r="D470" i="2"/>
  <c r="D469" i="2"/>
  <c r="D468" i="2"/>
  <c r="D467" i="2"/>
  <c r="D466" i="2"/>
  <c r="D465" i="2"/>
  <c r="D464" i="2"/>
  <c r="D463" i="2"/>
  <c r="D462" i="2"/>
  <c r="D461" i="2"/>
  <c r="D460" i="2"/>
  <c r="D459" i="2"/>
  <c r="D458" i="2"/>
  <c r="D457" i="2"/>
  <c r="D456" i="2"/>
  <c r="D455" i="2"/>
  <c r="D454" i="2"/>
  <c r="D453" i="2"/>
  <c r="D452" i="2"/>
  <c r="D451" i="2"/>
  <c r="D450" i="2"/>
  <c r="D449" i="2"/>
  <c r="D448" i="2"/>
  <c r="D447" i="2"/>
  <c r="D446" i="2"/>
  <c r="D445" i="2"/>
  <c r="D444" i="2"/>
  <c r="D443" i="2"/>
  <c r="D442" i="2"/>
  <c r="D441" i="2"/>
  <c r="D440" i="2"/>
  <c r="D439" i="2"/>
  <c r="D438" i="2"/>
  <c r="D437" i="2"/>
  <c r="D436" i="2"/>
  <c r="D435" i="2"/>
  <c r="D434" i="2"/>
  <c r="D433" i="2"/>
  <c r="D432" i="2"/>
  <c r="D431" i="2"/>
  <c r="D430" i="2"/>
  <c r="D429" i="2"/>
  <c r="D428" i="2"/>
  <c r="D427" i="2"/>
  <c r="D426" i="2"/>
  <c r="D425" i="2"/>
  <c r="D424" i="2"/>
  <c r="D423" i="2"/>
  <c r="D422" i="2"/>
  <c r="D421" i="2"/>
  <c r="D420" i="2"/>
  <c r="D419" i="2"/>
  <c r="D418" i="2"/>
  <c r="D416" i="2"/>
  <c r="D415" i="2"/>
  <c r="D414" i="2"/>
  <c r="D413" i="2"/>
  <c r="D412" i="2"/>
  <c r="D411" i="2"/>
  <c r="D410" i="2"/>
  <c r="D409" i="2"/>
  <c r="D408" i="2"/>
  <c r="D407" i="2"/>
  <c r="D406" i="2"/>
  <c r="D405" i="2"/>
  <c r="D404" i="2"/>
  <c r="D403" i="2"/>
  <c r="D402" i="2"/>
  <c r="D401" i="2"/>
  <c r="D400" i="2"/>
  <c r="D399" i="2"/>
  <c r="D398" i="2"/>
  <c r="D397" i="2"/>
  <c r="D396" i="2"/>
  <c r="D395" i="2"/>
  <c r="D394" i="2"/>
  <c r="D393" i="2"/>
  <c r="D392" i="2"/>
  <c r="D391" i="2"/>
  <c r="D390" i="2"/>
  <c r="D389" i="2"/>
  <c r="D388" i="2"/>
  <c r="D387" i="2"/>
  <c r="D386" i="2"/>
  <c r="D385" i="2"/>
  <c r="D384" i="2"/>
  <c r="D383" i="2"/>
  <c r="D382" i="2"/>
  <c r="D381" i="2"/>
  <c r="D380" i="2"/>
  <c r="D379" i="2"/>
  <c r="D378" i="2"/>
  <c r="D377" i="2"/>
  <c r="D376" i="2"/>
  <c r="D375" i="2"/>
  <c r="D374" i="2"/>
  <c r="D373" i="2"/>
  <c r="D372" i="2"/>
  <c r="D371" i="2"/>
  <c r="D370" i="2"/>
  <c r="D369" i="2"/>
  <c r="D368" i="2"/>
  <c r="D367" i="2"/>
  <c r="D366" i="2"/>
  <c r="D365" i="2"/>
  <c r="D364" i="2"/>
  <c r="D363" i="2"/>
  <c r="D362" i="2"/>
  <c r="D361" i="2"/>
  <c r="D360" i="2"/>
  <c r="D359" i="2"/>
  <c r="D358" i="2"/>
  <c r="D357" i="2"/>
  <c r="D356" i="2"/>
  <c r="D355" i="2"/>
  <c r="D354" i="2"/>
  <c r="D353" i="2"/>
  <c r="D352" i="2"/>
  <c r="D351" i="2"/>
  <c r="D350" i="2"/>
  <c r="D349" i="2"/>
  <c r="D348" i="2"/>
  <c r="D347" i="2"/>
  <c r="D346" i="2"/>
  <c r="D345" i="2"/>
  <c r="D344" i="2"/>
  <c r="D343" i="2"/>
  <c r="D342" i="2"/>
  <c r="D341" i="2"/>
  <c r="D340" i="2"/>
  <c r="D339" i="2"/>
  <c r="D338" i="2"/>
  <c r="D337" i="2"/>
  <c r="D336" i="2"/>
  <c r="D335" i="2"/>
  <c r="D334" i="2"/>
  <c r="D333" i="2"/>
  <c r="D332" i="2"/>
  <c r="D331" i="2"/>
  <c r="D330" i="2"/>
  <c r="D329" i="2"/>
  <c r="D328" i="2"/>
  <c r="D327" i="2"/>
  <c r="D326" i="2"/>
  <c r="D325" i="2"/>
  <c r="D324" i="2"/>
  <c r="D323" i="2"/>
  <c r="D322" i="2"/>
  <c r="D321" i="2"/>
  <c r="D320" i="2"/>
  <c r="D319" i="2"/>
  <c r="D318" i="2"/>
  <c r="D317" i="2"/>
  <c r="D316" i="2"/>
  <c r="D315" i="2"/>
  <c r="D314" i="2"/>
  <c r="D313" i="2"/>
  <c r="D312" i="2"/>
  <c r="D311" i="2"/>
  <c r="D310" i="2"/>
  <c r="D309" i="2"/>
  <c r="D308" i="2"/>
  <c r="D307" i="2"/>
  <c r="D306" i="2"/>
  <c r="D305" i="2"/>
  <c r="D304" i="2"/>
  <c r="D303" i="2"/>
  <c r="D302" i="2"/>
  <c r="D301" i="2"/>
  <c r="D300" i="2"/>
  <c r="D299" i="2"/>
  <c r="D298" i="2"/>
  <c r="D297" i="2"/>
  <c r="D296" i="2"/>
  <c r="D295" i="2"/>
  <c r="D294" i="2"/>
  <c r="D293" i="2"/>
  <c r="D292" i="2"/>
  <c r="D291" i="2"/>
  <c r="D290" i="2"/>
  <c r="D289" i="2"/>
  <c r="D288" i="2"/>
  <c r="D287" i="2"/>
  <c r="D286" i="2"/>
  <c r="D285" i="2"/>
  <c r="D284" i="2"/>
  <c r="D283" i="2"/>
  <c r="D282" i="2"/>
  <c r="D281" i="2"/>
  <c r="D280" i="2"/>
  <c r="D279" i="2"/>
  <c r="D278" i="2"/>
  <c r="D277" i="2"/>
  <c r="D276" i="2"/>
  <c r="D275" i="2"/>
  <c r="D274" i="2"/>
  <c r="D273" i="2"/>
  <c r="D272" i="2"/>
  <c r="D271" i="2"/>
  <c r="D270" i="2"/>
  <c r="D269" i="2"/>
  <c r="D268" i="2"/>
  <c r="D267" i="2"/>
  <c r="D266" i="2"/>
  <c r="D265" i="2"/>
  <c r="D264" i="2"/>
  <c r="D263" i="2"/>
  <c r="D262" i="2"/>
  <c r="D261" i="2"/>
  <c r="D260" i="2"/>
  <c r="D259" i="2"/>
  <c r="D258" i="2"/>
  <c r="D257" i="2"/>
  <c r="D256" i="2"/>
  <c r="D255" i="2"/>
  <c r="D254" i="2"/>
  <c r="D253" i="2"/>
  <c r="D252" i="2"/>
  <c r="D251" i="2"/>
  <c r="D250" i="2"/>
  <c r="D249" i="2"/>
  <c r="D248" i="2"/>
  <c r="D247" i="2"/>
  <c r="D246" i="2"/>
  <c r="D245" i="2"/>
  <c r="D244" i="2"/>
  <c r="D243" i="2"/>
  <c r="D242" i="2"/>
  <c r="D241" i="2"/>
  <c r="D240" i="2"/>
  <c r="D239" i="2"/>
  <c r="D238" i="2"/>
  <c r="D237" i="2"/>
  <c r="D236" i="2"/>
  <c r="D235" i="2"/>
  <c r="D234" i="2"/>
  <c r="D233" i="2"/>
  <c r="D232" i="2"/>
  <c r="D231" i="2"/>
  <c r="D230" i="2"/>
  <c r="D229" i="2"/>
  <c r="D228" i="2"/>
  <c r="D227" i="2"/>
  <c r="D226" i="2"/>
  <c r="D225" i="2"/>
  <c r="D224" i="2"/>
  <c r="D223" i="2"/>
  <c r="D222" i="2"/>
  <c r="D221" i="2"/>
  <c r="D220" i="2"/>
  <c r="D219" i="2"/>
  <c r="D218" i="2"/>
  <c r="D217" i="2"/>
  <c r="D216" i="2"/>
  <c r="D215" i="2"/>
  <c r="D214" i="2"/>
  <c r="D213" i="2"/>
  <c r="D212" i="2"/>
  <c r="D211" i="2"/>
  <c r="D210" i="2"/>
  <c r="D209" i="2"/>
  <c r="D208" i="2"/>
  <c r="D207" i="2"/>
  <c r="D206" i="2"/>
  <c r="D205" i="2"/>
  <c r="D204" i="2"/>
  <c r="D203" i="2"/>
  <c r="D202" i="2"/>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alcChain>
</file>

<file path=xl/sharedStrings.xml><?xml version="1.0" encoding="utf-8"?>
<sst xmlns="http://schemas.openxmlformats.org/spreadsheetml/2006/main" count="4522" uniqueCount="623">
  <si>
    <t>Address</t>
  </si>
  <si>
    <t>General Plan</t>
  </si>
  <si>
    <t>Zoning</t>
  </si>
  <si>
    <t>Inventory Income Level</t>
  </si>
  <si>
    <t>Zip Code</t>
  </si>
  <si>
    <t>11815 Redmond Ave, San Jose, CA, 95120</t>
  </si>
  <si>
    <t>Neighborhood/Community Commercial</t>
  </si>
  <si>
    <t>A(PD) - Agriculture</t>
  </si>
  <si>
    <t>Single Family</t>
  </si>
  <si>
    <t>Low Income</t>
  </si>
  <si>
    <t>821 The Alameda, San Jose, CA, 95126</t>
  </si>
  <si>
    <t>Urban Village</t>
  </si>
  <si>
    <t>Retail Uses</t>
  </si>
  <si>
    <t>1746 The Alameda, San Jose, CA, 95126</t>
  </si>
  <si>
    <t>Office Uses</t>
  </si>
  <si>
    <t>2347 N 1st St, San Jose, CA, 95131</t>
  </si>
  <si>
    <t>Transit Employment Center</t>
  </si>
  <si>
    <t>Vacant Urban</t>
  </si>
  <si>
    <t>Mixed Income</t>
  </si>
  <si>
    <t>1488 N 1st St, San Jose, CA, 95112</t>
  </si>
  <si>
    <t>CG - Commercial General</t>
  </si>
  <si>
    <t>1550 N 1st St, San Jose, CA, 95112</t>
  </si>
  <si>
    <t>502 S 2nd St, San Jose, CA, 95112</t>
  </si>
  <si>
    <t>Downtown</t>
  </si>
  <si>
    <t>DC(PD) - Downtown Primary Commercial</t>
  </si>
  <si>
    <t>Moderate Income</t>
  </si>
  <si>
    <t>3680 Stevens Creek Blvd, San Jose, CA, 95117</t>
  </si>
  <si>
    <t>798 Foxworthy Ave, San Jose, CA, 95136</t>
  </si>
  <si>
    <t>Residential Neighborhood</t>
  </si>
  <si>
    <t>1490 N 1st St, San Jose, CA, 95112</t>
  </si>
  <si>
    <t>CN - Commercial Neighborhood</t>
  </si>
  <si>
    <t>2102 McKee Rd, San Jose, CA, 95116</t>
  </si>
  <si>
    <t>1190 S Bascom Ave, San Jose, CA, 95128</t>
  </si>
  <si>
    <t>CP - Commercial Pedestrian</t>
  </si>
  <si>
    <t>Above Moderate Income</t>
  </si>
  <si>
    <t>1210 S Bascom Ave, San Jose, CA, 95128</t>
  </si>
  <si>
    <t>4880 Stevens Creek Blvd, San Jose, CA, 95129</t>
  </si>
  <si>
    <t>Mixed Use Commercial</t>
  </si>
  <si>
    <t>1122 Willow St, San Jose, CA, 95125</t>
  </si>
  <si>
    <t>1175 Saratoga Ave, San Jose, CA, 95129</t>
  </si>
  <si>
    <t>1900 Camden Ave Unit 101, San Jose, CA, 95124</t>
  </si>
  <si>
    <t>650 Minnesota Ave, San Jose, CA, 95125</t>
  </si>
  <si>
    <t>Mixed Use Neighborhood</t>
  </si>
  <si>
    <t>Churches</t>
  </si>
  <si>
    <t>1998 Alum Rock Ave, San Jose, CA, 95116</t>
  </si>
  <si>
    <t>MS-G - Main Street Ground Floor Commercial</t>
  </si>
  <si>
    <t>1915 W San Carlos St, San Jose, CA, 95128</t>
  </si>
  <si>
    <t>3147 Senter Rd, San Jose, CA, 95111</t>
  </si>
  <si>
    <t>Service Stations</t>
  </si>
  <si>
    <t>950 Owsley Ave, San Jose, CA, 95122</t>
  </si>
  <si>
    <t>Other Schools</t>
  </si>
  <si>
    <t>2018 Berryessa Rd, San Jose, CA, 95133</t>
  </si>
  <si>
    <t>2010 Berryessa Rd, San Jose, CA, 95133</t>
  </si>
  <si>
    <t>2002 Berryessa Rd, San Jose, CA, 95133</t>
  </si>
  <si>
    <t>14656 Camden Ave, San Jose, CA, 95124</t>
  </si>
  <si>
    <t>150 Terraine St, San Jose, CA, 95110</t>
  </si>
  <si>
    <t>DC - Downtown Primary Commercial</t>
  </si>
  <si>
    <t>2 N Jackson Ave, San Jose, CA, 95116</t>
  </si>
  <si>
    <t>160 E Tasman Dr, San Jose, CA, 95134</t>
  </si>
  <si>
    <t>Industrial Park</t>
  </si>
  <si>
    <t>Research &amp; Development Branches of Manufacturing Firms</t>
  </si>
  <si>
    <t>938 The Alameda, San Jose, CA, 95126</t>
  </si>
  <si>
    <t>PQP - Public/Quasi-Public</t>
  </si>
  <si>
    <t>1547 Almaden Expy, San Jose, CA, 95125</t>
  </si>
  <si>
    <t>Urban Residential</t>
  </si>
  <si>
    <t>General Industrial Non-Manufacturing, OR Combination of Manufacturing &amp; Non-Manufacturing</t>
  </si>
  <si>
    <t>250 Montclair Ave, San Jose, CA, 95116</t>
  </si>
  <si>
    <t>6238 Cahalan Ave, San Jose, CA, 95123</t>
  </si>
  <si>
    <t>R-1-8 - Single Family Residential</t>
  </si>
  <si>
    <t>1081 Foxworthy Ave, San Jose, CA, 95118</t>
  </si>
  <si>
    <t>Childcare Facilities, Preschools, Adult, Daycare Centers</t>
  </si>
  <si>
    <t>266 N 28th St, San Jose, CA, 95116</t>
  </si>
  <si>
    <t>280 N Capitol Ave, San Jose, CA, 95127</t>
  </si>
  <si>
    <t>1682 Virginia Pl, San Jose, CA, 95116</t>
  </si>
  <si>
    <t>2305 S Bascom Ave, San Jose, CA, 95008</t>
  </si>
  <si>
    <t>1005 S White Rd, San Jose, CA, 95127</t>
  </si>
  <si>
    <t>505 S White Rd, San Jose, CA, 95127</t>
  </si>
  <si>
    <t>1705 Tully Rd, San Jose, CA, 95122</t>
  </si>
  <si>
    <t>1749 Mt Pleasant Rd, San Jose, CA, RD</t>
  </si>
  <si>
    <t>Unknown</t>
  </si>
  <si>
    <t>3245 Sierra Rd, San Jose, CA, 95132</t>
  </si>
  <si>
    <t>3320 San Felipe Rd, San Jose, CA, 95135</t>
  </si>
  <si>
    <t>R-1-5 - Single Family Residential</t>
  </si>
  <si>
    <t>3151 S White Rd, San Jose, CA, 95148</t>
  </si>
  <si>
    <t>CP(PD) - Commercial Pedestrian</t>
  </si>
  <si>
    <t>3543 Kettmann Rd, San Jose, CA, 95121</t>
  </si>
  <si>
    <t>2388 S Bascom Ave, San Jose, CA, 95008</t>
  </si>
  <si>
    <t>2355 S Bascom Ave, San Jose, CA, 95008</t>
  </si>
  <si>
    <t>2425 S Bascom Ave, San Jose, CA, 95008</t>
  </si>
  <si>
    <t>2315 S Bascom Ave, San Jose, CA, 95008</t>
  </si>
  <si>
    <t>2275 Camden Ave, San Jose, CA, 95008</t>
  </si>
  <si>
    <t>1380 Olympia Ave, San Jose, CA, 95008</t>
  </si>
  <si>
    <t>2887 S Bascom Ave, San Jose, CA, 95008</t>
  </si>
  <si>
    <t>2940 S Bascom Ave, San Jose, CA, 95124</t>
  </si>
  <si>
    <t>Address Unknown, San Jose, CA</t>
  </si>
  <si>
    <t>1999 Camden Ave, San Jose, CA, 95124</t>
  </si>
  <si>
    <t>2030 Camden Ave, San Jose, CA, 95124</t>
  </si>
  <si>
    <t>2037 Woodard Rd, San Jose, CA, 95124</t>
  </si>
  <si>
    <t>3687 Union Ave, San Jose, CA, 95124</t>
  </si>
  <si>
    <t>1206 N Capitol Ave, San Jose, CA, 95132</t>
  </si>
  <si>
    <t>3190 S Bascom Ave, San Jose, CA, 95124</t>
  </si>
  <si>
    <t>251 River Oaks Pkwy, San Jose, CA, 95134</t>
  </si>
  <si>
    <t>211 River Oaks Pkwy, San Jose, CA, 95134</t>
  </si>
  <si>
    <t>333 River Oaks Pkwy, San Jose, CA, 95134</t>
  </si>
  <si>
    <t>2682 Berryessa Rd, San Jose, CA, 95132</t>
  </si>
  <si>
    <t>2670 Seely Ave, San Jose, CA, 95134</t>
  </si>
  <si>
    <t>1239 Piedmont Rd, San Jose, CA, 95132</t>
  </si>
  <si>
    <t>3078 Magliocco Dr, San Jose, CA, 95128</t>
  </si>
  <si>
    <t>1270 S Winchester Blvd, San Jose, CA, 95128</t>
  </si>
  <si>
    <t>1390 S Winchester Blvd, San Jose, CA, 95128</t>
  </si>
  <si>
    <t>1366 S Winchester Blvd, San Jose, CA, 95128</t>
  </si>
  <si>
    <t>1302 S Winchester Blvd, San Jose, CA, 95128</t>
  </si>
  <si>
    <t>1362 S Winchester Blvd, San Jose, CA, 95128</t>
  </si>
  <si>
    <t>1358 S Winchester Blvd, San Jose, CA, 95128</t>
  </si>
  <si>
    <t>1410 S Winchester Blvd, San Jose, CA, 95128</t>
  </si>
  <si>
    <t>3070 Driftwood Dr, San Jose, CA, 95128</t>
  </si>
  <si>
    <t>1522 S Winchester Blvd, San Jose, CA, 95128</t>
  </si>
  <si>
    <t>1510 S Winchester Blvd, San Jose, CA, 95128</t>
  </si>
  <si>
    <t>1462 S Winchester Blvd, San Jose, CA, 95128</t>
  </si>
  <si>
    <t>1025 S Bascom Ave, San Jose, CA, 95128</t>
  </si>
  <si>
    <t>1027 S Bascom Ave, San Jose, CA, 95128</t>
  </si>
  <si>
    <t>1125 S Bascom Ave, San Jose, CA, 95128</t>
  </si>
  <si>
    <t>1145 S Bascom Ave, San Jose, CA, 95128</t>
  </si>
  <si>
    <t>1371 S Bascom Ave, San Jose, CA, 95128</t>
  </si>
  <si>
    <t>1299 Del Mar Ave, San Jose, CA, 95128</t>
  </si>
  <si>
    <t>1264 S Bascom Ave, San Jose, CA, 95128</t>
  </si>
  <si>
    <t>1256 S Bascom Ave, San Jose, CA, 95128</t>
  </si>
  <si>
    <t>1238 S Bascom Ave, San Jose, CA, 95128</t>
  </si>
  <si>
    <t>1224 S Bascom Ave, San Jose, CA, 95128</t>
  </si>
  <si>
    <t>1190 Del Mar Ave, San Jose, CA, 95128</t>
  </si>
  <si>
    <t>1150 S Bascom Ave, San Jose, CA, 95128</t>
  </si>
  <si>
    <t>960 S Bascom Ave, San Jose, CA, 95128</t>
  </si>
  <si>
    <t>912 S Bascom Ave, San Jose, CA, 95128</t>
  </si>
  <si>
    <t>902 S Bascom Ave, San Jose, CA, 95128</t>
  </si>
  <si>
    <t>Wholesaling with Stock (with Warehousing)</t>
  </si>
  <si>
    <t>2170 Fruitdale Ave, San Jose, CA, 95128</t>
  </si>
  <si>
    <t>980 S Bascom Ave, San Jose, CA, 95128</t>
  </si>
  <si>
    <t>1090 S Bascom Ave, San Jose, CA, 95128</t>
  </si>
  <si>
    <t>1426 Fruitdale Ave, San Jose, CA, 95128</t>
  </si>
  <si>
    <t>1777 Hamilton Ave, San Jose, CA, 95125</t>
  </si>
  <si>
    <t>1655 Hamilton Ave, San Jose, CA, 95125</t>
  </si>
  <si>
    <t>1579 Meridian Ave, San Jose, CA, 95125</t>
  </si>
  <si>
    <t>1038 Leigh Ave, San Jose, CA, 95126</t>
  </si>
  <si>
    <t>1064 Leigh Ave, San Jose, CA, 95126</t>
  </si>
  <si>
    <t>3910 Stevens Creek Blvd, San Jose, CA, 95129</t>
  </si>
  <si>
    <t>335 Saratoga Ave, San Jose, CA, 95129</t>
  </si>
  <si>
    <t>375 Saratoga Ave, San Jose, CA, 95129</t>
  </si>
  <si>
    <t>397 Saratoga Ave, San Jose, CA, 95129</t>
  </si>
  <si>
    <t>401 Saratoga Ave, San Jose, CA, 95129</t>
  </si>
  <si>
    <t>4902 Stevens Creek Blvd, San Jose, CA, 95129</t>
  </si>
  <si>
    <t>4980 Stevens Creek Blvd, San Jose, CA, 95129</t>
  </si>
  <si>
    <t>1299 S Winchester Blvd, San Jose, CA, 95128</t>
  </si>
  <si>
    <t>1245 S Winchester Blvd, San Jose, CA, 95128</t>
  </si>
  <si>
    <t>3111 Payne Ave, San Jose, CA, 95117</t>
  </si>
  <si>
    <t>1138 Saratoga Ave, San Jose, CA, 95129</t>
  </si>
  <si>
    <t>1072 Saratoga Ave, San Jose, CA, 95129</t>
  </si>
  <si>
    <t>1101 S Winchester Blvd, San Jose, CA, 95128</t>
  </si>
  <si>
    <t>3120 Williams Rd, San Jose, CA, 95117</t>
  </si>
  <si>
    <t>Neighborhood (Supermarket)</t>
  </si>
  <si>
    <t>1035 S Winchester Blvd, San Jose, CA, 95128</t>
  </si>
  <si>
    <t>947 S Winchester Blvd, San Jose, CA, 95128</t>
  </si>
  <si>
    <t>910 Saratoga Ave, San Jose, CA, 95129</t>
  </si>
  <si>
    <t>410 Saratoga Ave, San Jose, CA, 95129</t>
  </si>
  <si>
    <t>435 S Kiely Blvd, San Jose, CA, 95117</t>
  </si>
  <si>
    <t>451 S Kiely Blvd, San Jose, CA, 95117</t>
  </si>
  <si>
    <t>497 S Kiely Blvd, San Jose, CA, 95117</t>
  </si>
  <si>
    <t>404 Saratoga Ave, San Jose, CA, 95129</t>
  </si>
  <si>
    <t>440 Saratoga Ave, San Jose, CA, 95129</t>
  </si>
  <si>
    <t>3732 Stevens Creek Blvd, San Jose, CA, 95117</t>
  </si>
  <si>
    <t>3710 Stevens Creek Blvd, San Jose, CA, 95117</t>
  </si>
  <si>
    <t>3744 Stevens Creek Blvd, San Jose, CA, 95117</t>
  </si>
  <si>
    <t>3738 Stevens Creek Blvd, San Jose, CA, 95117</t>
  </si>
  <si>
    <t>3580 Stevens Creek Blvd, San Jose, CA, 95117</t>
  </si>
  <si>
    <t>3550 Stevens Creek Blvd, San Jose, CA, 95117</t>
  </si>
  <si>
    <t>3530 Stevens Creek Blvd, San Jose, CA, 95117</t>
  </si>
  <si>
    <t>3490 Stevens Creek Blvd, San Jose, CA, 95117</t>
  </si>
  <si>
    <t>3290 Stevens Creek Blvd, San Jose, CA, 95117</t>
  </si>
  <si>
    <t>3136 Stevens Creek Blvd, San Jose, CA, 95117</t>
  </si>
  <si>
    <t>3132 Stevens Creek Blvd, San Jose, CA, 95117</t>
  </si>
  <si>
    <t>3158 Stevens Creek Blvd, San Jose, CA, 95117</t>
  </si>
  <si>
    <t>1435 S Winchester Blvd, San Jose, CA, 95128</t>
  </si>
  <si>
    <t>1537 S Winchester Blvd, San Jose, CA, 95128</t>
  </si>
  <si>
    <t>1505 S Winchester Blvd, San Jose, CA, 95128</t>
  </si>
  <si>
    <t>4855 Atherton Ave, San Jose, CA, 95130</t>
  </si>
  <si>
    <t>1494 Saratoga Ave, San Jose, CA, 95129</t>
  </si>
  <si>
    <t>965 S De Anza Blvd, San Jose, CA, 95129</t>
  </si>
  <si>
    <t>1011 S De Anza Blvd, San Jose, CA, 95129</t>
  </si>
  <si>
    <t>1125 S De Anza Blvd, San Jose, CA, 95129</t>
  </si>
  <si>
    <t>20405 Prospect Rd, San Jose, CA, 95129</t>
  </si>
  <si>
    <t>7281 Coronado Dr, San Jose, CA, 95129</t>
  </si>
  <si>
    <t>7280 Blue Hill Dr, San Jose, CA, DR</t>
  </si>
  <si>
    <t>1084 S De Anza Blvd Ste A, San Jose, CA, A</t>
  </si>
  <si>
    <t>982 S De Anza Blvd, San Jose, CA, 95129</t>
  </si>
  <si>
    <t>998 S De Anza Blvd, San Jose, CA, 95129</t>
  </si>
  <si>
    <t>1000 S De Anza Blvd, San Jose, CA, 95129</t>
  </si>
  <si>
    <t>1361 S Winchester Blvd, San Jose, CA, 95128</t>
  </si>
  <si>
    <t>1086 N 1st St, San Jose, CA, 95112</t>
  </si>
  <si>
    <t>UR</t>
  </si>
  <si>
    <t>955 Saratoga Ave, San Jose, CA, 95129</t>
  </si>
  <si>
    <t>4250 Williams Rd, San Jose, CA, 95129</t>
  </si>
  <si>
    <t>1111 Saratoga Ave, San Jose, CA, 95129</t>
  </si>
  <si>
    <t>1547 Saratoga Ave, San Jose, CA, 95129</t>
  </si>
  <si>
    <t>1881 Quito Rd, San Jose, CA, 95129</t>
  </si>
  <si>
    <t>1888 Saratoga Ave, San Jose, CA, 95129</t>
  </si>
  <si>
    <t>1525 Meridian Ave, San Jose, CA, 95125</t>
  </si>
  <si>
    <t>5299 McKee Rd, San Jose, CA, 95127</t>
  </si>
  <si>
    <t>302 Toyon Ave, San Jose, CA, 95127</t>
  </si>
  <si>
    <t>1084 Foxworthy Ave, San Jose, CA, 95118</t>
  </si>
  <si>
    <t>3162 Newberry Dr, San Jose, CA, 95118</t>
  </si>
  <si>
    <t>3180 Newberry Dr, San Jose, CA, 95118</t>
  </si>
  <si>
    <t>1595 Branham Ln, San Jose, CA, 95118</t>
  </si>
  <si>
    <t>1421 Branham Ln, San Jose, CA, 95118</t>
  </si>
  <si>
    <t>1011 Blossom Hill Rd, San Jose, CA, 95123</t>
  </si>
  <si>
    <t>841 Blossom Hill Rd, San Jose, CA, RD</t>
  </si>
  <si>
    <t>463 Blossom Hill Rd, San Jose, CA, RD</t>
  </si>
  <si>
    <t>465 Blossom Hill Rd, San Jose, CA, RD</t>
  </si>
  <si>
    <t>5598 Entrada Cedros, San Jose, CA, 95123</t>
  </si>
  <si>
    <t>5560 Entrada Cedros, San Jose, CA, 95123</t>
  </si>
  <si>
    <t>520 Giuffrida Ave, San Jose, CA, 95123</t>
  </si>
  <si>
    <t>611 Blossom Hill Rd, San Jose, CA, RD</t>
  </si>
  <si>
    <t>1188 Branham Ln, San Jose, CA, 95118</t>
  </si>
  <si>
    <t>5330 Camden Ave, San Jose, CA, 95124</t>
  </si>
  <si>
    <t>15025 Carter Ave, San Jose, CA, 95124</t>
  </si>
  <si>
    <t>R-M(PD) - Multi-Family Residential</t>
  </si>
  <si>
    <t>1201 N Capitol Ave, San Jose, CA, 95132</t>
  </si>
  <si>
    <t>808 Colleen Dr, San Jose, CA, 95123</t>
  </si>
  <si>
    <t>1601 Technology Dr, San Jose, CA, 95110</t>
  </si>
  <si>
    <t>1737 N 1st St, San Jose, CA, 95112</t>
  </si>
  <si>
    <t>1763 Blossom Hill Rd, San Jose, CA, RD</t>
  </si>
  <si>
    <t>1777 Blossom Hill Rd, San Jose, CA, RD</t>
  </si>
  <si>
    <t>431 Blossom Hill Rd, San Jose, CA, 95123</t>
  </si>
  <si>
    <t>1100 E William St, San Jose, CA, 95116</t>
  </si>
  <si>
    <t>1680 Berryessa Rd, San Jose, CA, 95133</t>
  </si>
  <si>
    <t>2095 Park Ave, San Jose, CA, 95126</t>
  </si>
  <si>
    <t>1299 E Santa Clara St, San Jose, CA, 95116</t>
  </si>
  <si>
    <t>224 N 27th St, San Jose, CA, 95116</t>
  </si>
  <si>
    <t>100 N 27th St, San Jose, CA, 95116</t>
  </si>
  <si>
    <t>Social Clubs, Fraternal Orders, Community Centers</t>
  </si>
  <si>
    <t>1399 W San Carlos St, San Jose, CA, 95126</t>
  </si>
  <si>
    <t>3490 McKee Rd, San Jose, CA, 95127</t>
  </si>
  <si>
    <t>1551 Parkmoor Ave, San Jose, CA, 95128</t>
  </si>
  <si>
    <t>1699 N Capitol Ave, San Jose, CA, 95132</t>
  </si>
  <si>
    <t>4605 Cherry Ave, San Jose, CA, 95118</t>
  </si>
  <si>
    <t>888 N 1st St Ste 201, San Jose, CA, 201</t>
  </si>
  <si>
    <t>Transit Residential</t>
  </si>
  <si>
    <t>711 N 7th St, San Jose, CA, 95112</t>
  </si>
  <si>
    <t>852 N 10th St, San Jose, CA, 95112</t>
  </si>
  <si>
    <t>808 N 10th St, San Jose, CA, 95112</t>
  </si>
  <si>
    <t>467 E Taylor St, San Jose, CA, 95112</t>
  </si>
  <si>
    <t>809 N 13th St, San Jose, CA, 95112</t>
  </si>
  <si>
    <t>325 S Capitol Ave, San Jose, CA, 95127</t>
  </si>
  <si>
    <t>Five or more Family</t>
  </si>
  <si>
    <t>3145 Payne Ave, San Jose, CA, 95117</t>
  </si>
  <si>
    <t>3707 Williams Rd, San Jose, CA, 95117</t>
  </si>
  <si>
    <t>Public/Quasi-Public</t>
  </si>
  <si>
    <t>701 Miller St, San Jose, CA, 95110</t>
  </si>
  <si>
    <t>338 N Montgomery St, San Jose, CA, 95110</t>
  </si>
  <si>
    <t>517 W St John St, San Jose, CA, 95110</t>
  </si>
  <si>
    <t>150 N Montgomery St, San Jose, CA, 95110</t>
  </si>
  <si>
    <t>180 N Montgomery St, San Jose, CA, 95110</t>
  </si>
  <si>
    <t>190 N Montgomery St, San Jose, CA, 95110</t>
  </si>
  <si>
    <t>240 N Montgomery St, San Jose, CA, 95110</t>
  </si>
  <si>
    <t>260 N Montgomery St, San Jose, CA, 95110</t>
  </si>
  <si>
    <t>Yards for Equipment &amp; Supplies of Contractors, Public Utilities, Government</t>
  </si>
  <si>
    <t>211 W St John St, San Jose, CA, ST</t>
  </si>
  <si>
    <t>255 Delmas Ave, San Jose, CA, 95110</t>
  </si>
  <si>
    <t>257 Delmas Ave, San Jose, CA, 95110</t>
  </si>
  <si>
    <t>267 Delmas Ave, San Jose, CA, 95110</t>
  </si>
  <si>
    <t>443 W San Carlos St, San Jose, CA, 95110</t>
  </si>
  <si>
    <t>449 W San Carlos St, San Jose, CA, 95110</t>
  </si>
  <si>
    <t>459 W San Carlos St, San Jose, CA, 95110</t>
  </si>
  <si>
    <t>437 W San Carlos St, San Jose, CA, 95110</t>
  </si>
  <si>
    <t>258 Sonoma St, San Jose, CA, 95110</t>
  </si>
  <si>
    <t>248 Sonoma St, San Jose, CA, 95110</t>
  </si>
  <si>
    <t>238 Sonoma St, San Jose, CA, 95110</t>
  </si>
  <si>
    <t>228 Sonoma St, San Jose, CA, 95110</t>
  </si>
  <si>
    <t>218 Sonoma St, San Jose, CA, 95110</t>
  </si>
  <si>
    <t>412 Park Ave, San Jose, CA, 95110</t>
  </si>
  <si>
    <t>274 Gifford Ave, San Jose, CA, 95110</t>
  </si>
  <si>
    <t>266 Gifford Ave, San Jose, CA, 95110</t>
  </si>
  <si>
    <t>258 Gifford Ave, San Jose, CA, 95110</t>
  </si>
  <si>
    <t>248 Gifford Ave, San Jose, CA, 95110</t>
  </si>
  <si>
    <t>San Jose, CA</t>
  </si>
  <si>
    <t>293 Josefa St, San Jose, CA, 95110</t>
  </si>
  <si>
    <t>507 W San Carlos St, San Jose, CA, 95126</t>
  </si>
  <si>
    <t>515 W San Carlos St, San Jose, CA, 95126</t>
  </si>
  <si>
    <t>521 W San Carlos St, San Jose, CA, 95126</t>
  </si>
  <si>
    <t>525 W San Carlos St, San Jose, CA, 95126</t>
  </si>
  <si>
    <t>527 W San Carlos St, San Jose, CA, 95126</t>
  </si>
  <si>
    <t>533 W San Carlos St, San Jose, CA, 95126</t>
  </si>
  <si>
    <t>498 Park Ave, San Jose, CA, 95110</t>
  </si>
  <si>
    <t>496 Park Ave, San Jose, CA, 95110</t>
  </si>
  <si>
    <t>275 Josefa St, San Jose, CA, 95110</t>
  </si>
  <si>
    <t>535 Lorraine Ave, San Jose, CA, 95110</t>
  </si>
  <si>
    <t>550 Lorraine Ave, San Jose, CA, 95110</t>
  </si>
  <si>
    <t>514 Lorraine Ave, San Jose, CA, 95110</t>
  </si>
  <si>
    <t>512 Lorraine Ave, San Jose, CA, 95110</t>
  </si>
  <si>
    <t>510 Lorraine Ave, San Jose, CA, 95110</t>
  </si>
  <si>
    <t>506 Lorraine Ave, San Jose, CA, 95110</t>
  </si>
  <si>
    <t>255 Josefa St, San Jose, CA, 95110</t>
  </si>
  <si>
    <t>Two Family</t>
  </si>
  <si>
    <t>181 Gifford Ave, San Jose, CA, 95110</t>
  </si>
  <si>
    <t>471 Park Ave, San Jose, CA, 95110</t>
  </si>
  <si>
    <t>483 Park Ave, San Jose, CA, 95110</t>
  </si>
  <si>
    <t>706 W Julian St, San Jose, CA, 95126</t>
  </si>
  <si>
    <t>776 Clinton Pl, San Jose, CA, 95126</t>
  </si>
  <si>
    <t>909 W Julian St, San Jose, CA, 95126</t>
  </si>
  <si>
    <t>173 N Morrison Ave, San Jose, CA, 95126</t>
  </si>
  <si>
    <t>190 Race St, San Jose, CA, 95126</t>
  </si>
  <si>
    <t>876 The Alameda, San Jose, CA, 95126</t>
  </si>
  <si>
    <t>845 Park Ave, San Jose, CA, 95126</t>
  </si>
  <si>
    <t>275 McEvoy St, San Jose, CA, 95126</t>
  </si>
  <si>
    <t>800 Park Ave, San Jose, CA, 95126</t>
  </si>
  <si>
    <t>782 Park Ave, San Jose, CA, 95126</t>
  </si>
  <si>
    <t>216 Sunol St, San Jose, CA, 95126</t>
  </si>
  <si>
    <t>214 Sunol St, San Jose, CA, 95126</t>
  </si>
  <si>
    <t>210 Sunol St, San Jose, CA, 95126</t>
  </si>
  <si>
    <t>208 Sunol St, San Jose, CA, 95126</t>
  </si>
  <si>
    <t>759 W San Carlos St, San Jose, CA, 95126</t>
  </si>
  <si>
    <t>1855 Park Ave, San Jose, CA, 95126</t>
  </si>
  <si>
    <t>1753 W San Carlos St, San Jose, CA, 95128</t>
  </si>
  <si>
    <t>101 N Bascom Ave, San Jose, CA, 95128</t>
  </si>
  <si>
    <t>1725 Berryessa Rd, San Jose, CA, 95133</t>
  </si>
  <si>
    <t>1715 Berryessa Rd, San Jose, CA, 95133</t>
  </si>
  <si>
    <t>176 N Winchester Blvd, San Jose, CA, 95128</t>
  </si>
  <si>
    <t>71 Vista Montana, San Jose, CA, 95134</t>
  </si>
  <si>
    <t>705 Capitol Ex Auto Mall, San Jose, CA, 95136</t>
  </si>
  <si>
    <t>715 Capitol Ex Auto Mall, San Jose, CA, 95136</t>
  </si>
  <si>
    <t>1547 Meridian Ave, San Jose, CA, 95125</t>
  </si>
  <si>
    <t>1535 Meridian Ave, San Jose, CA, 95125</t>
  </si>
  <si>
    <t>1858 Almaden Rd, San Jose, CA, 95125</t>
  </si>
  <si>
    <t>1840 Almaden Rd, San Jose, CA, 95125</t>
  </si>
  <si>
    <t>1747 Almaden Rd, San Jose, CA, 95125</t>
  </si>
  <si>
    <t>2080 Almaden Rd, San Jose, CA, 95125</t>
  </si>
  <si>
    <t>2112 Canoas Garden Ave, San Jose, CA, 95125</t>
  </si>
  <si>
    <t>990 Meridian Ave, San Jose, CA, 95126</t>
  </si>
  <si>
    <t>1255 Pedro St, San Jose, CA, 95126</t>
  </si>
  <si>
    <t>792 Meridian Way, San Jose, CA, 95126</t>
  </si>
  <si>
    <t>741 Auzerais Ave, San Jose, CA, 95126</t>
  </si>
  <si>
    <t>564 W San Carlos St, San Jose, CA, 95126</t>
  </si>
  <si>
    <t>550 W San Carlos St, San Jose, CA, 95126</t>
  </si>
  <si>
    <t>530 W San Carlos St, San Jose, CA, 95126</t>
  </si>
  <si>
    <t>323 Josefa St, San Jose, CA, 95126</t>
  </si>
  <si>
    <t>523 Columbia Ave, San Jose, CA, 95126</t>
  </si>
  <si>
    <t>561 Columbia Ave, San Jose, CA, 95126</t>
  </si>
  <si>
    <t>567 Columbia Ave, San Jose, CA, 95126</t>
  </si>
  <si>
    <t>332 Josefa St, San Jose, CA, 95126</t>
  </si>
  <si>
    <t>476 W San Carlos St, San Jose, CA, 95126</t>
  </si>
  <si>
    <t>496 W San Carlos St, San Jose, CA, 95126</t>
  </si>
  <si>
    <t>3780 Stevens Creek Blvd, San Jose, CA, 95117</t>
  </si>
  <si>
    <t>345 Saratoga Ave, San Jose, CA, 95129</t>
  </si>
  <si>
    <t>4080 Stevens Creek Blvd, San Jose, CA, 95129</t>
  </si>
  <si>
    <t>7225 Rainbow Dr, San Jose, CA, 95129</t>
  </si>
  <si>
    <t>458 W San Carlos St, San Jose, CA, 95126</t>
  </si>
  <si>
    <t>452 W San Carlos St, San Jose, CA, 95110</t>
  </si>
  <si>
    <t>432 W San Carlos St, San Jose, CA, 95110</t>
  </si>
  <si>
    <t>422 W San Carlos St, San Jose, CA, 95110</t>
  </si>
  <si>
    <t>420 W San Carlos St, San Jose, CA, 95110</t>
  </si>
  <si>
    <t>414 W San Carlos St, San Jose, CA, 95126</t>
  </si>
  <si>
    <t>450 W San Carlos St, San Jose, CA, 95110</t>
  </si>
  <si>
    <t>301 Delmas Ave, San Jose, CA, 95126</t>
  </si>
  <si>
    <t>317 Delmas Ave, San Jose, CA, 95126</t>
  </si>
  <si>
    <t>402 S Market St, San Jose, CA, 95113</t>
  </si>
  <si>
    <t>401 S 1st St, San Jose, CA, 95113</t>
  </si>
  <si>
    <t>561 Almaden Ave, San Jose, CA, 95110</t>
  </si>
  <si>
    <t>DC-NT1 - Downtown Primary Commercial Neighborhood Transition 1</t>
  </si>
  <si>
    <t>571 Almaden Ave, San Jose, CA, 95110</t>
  </si>
  <si>
    <t>1080 S De Anza Blvd, San Jose, CA, 95129</t>
  </si>
  <si>
    <t>5885 Santa Teresa Blvd, San Jose, CA, 95123</t>
  </si>
  <si>
    <t>1082 Lincoln Ave, San Jose, CA, 95125</t>
  </si>
  <si>
    <t>1074 Lincoln Ave, San Jose, CA, 95125</t>
  </si>
  <si>
    <t>1001 Lincoln Ave, San Jose, CA, 95125</t>
  </si>
  <si>
    <t>260 N 1st St, San Jose, CA, 95113</t>
  </si>
  <si>
    <t>258 N 2nd St, San Jose, CA, 95112</t>
  </si>
  <si>
    <t>237 N 4th St, San Jose, CA, 95112</t>
  </si>
  <si>
    <t>235 N 4th St, San Jose, CA, 95112</t>
  </si>
  <si>
    <t>231 N 4th St, San Jose, CA, 95112</t>
  </si>
  <si>
    <t>298 N 4th St, San Jose, CA, 95112</t>
  </si>
  <si>
    <t>1350 E St James St, San Jose, CA, 95116</t>
  </si>
  <si>
    <t>Fabricated Metal Products</t>
  </si>
  <si>
    <t>170 N 28th St, San Jose, CA, 95116</t>
  </si>
  <si>
    <t>1121 E Santa Clara St, San Jose, CA, 95116</t>
  </si>
  <si>
    <t>1075 E Santa Clara St, San Jose, CA, 95116</t>
  </si>
  <si>
    <t>1047 E Santa Clara St, San Jose, CA, 95116</t>
  </si>
  <si>
    <t>1001 E Santa Clara St, San Jose, CA, 95116</t>
  </si>
  <si>
    <t>100 N 4th St, San Jose, CA, 95112</t>
  </si>
  <si>
    <t>120 N 4th St, San Jose, CA, 95112</t>
  </si>
  <si>
    <t>146 N 4th St, San Jose, CA, 95112</t>
  </si>
  <si>
    <t>157 N 4th St, San Jose, CA, 95112</t>
  </si>
  <si>
    <t>127 N 4th St, San Jose, CA, 95112</t>
  </si>
  <si>
    <t>115 N 4th St, San Jose, CA, 95112</t>
  </si>
  <si>
    <t>8 E San Fernando St, San Jose, CA, 95113</t>
  </si>
  <si>
    <t>66 S 7th St, San Jose, CA, 95112</t>
  </si>
  <si>
    <t>2484 Berryessa Rd, San Jose, CA, 95133</t>
  </si>
  <si>
    <t>777 N Capitol Ave, San Jose, CA, 95132</t>
  </si>
  <si>
    <t>854 E Santa Clara St, San Jose, CA, 95116</t>
  </si>
  <si>
    <t>856 E Santa Clara St, San Jose, CA, 95116</t>
  </si>
  <si>
    <t>148 E San Carlos St, San Jose, CA, 95112</t>
  </si>
  <si>
    <t>394 S 2nd St, San Jose, CA, 95113</t>
  </si>
  <si>
    <t>345 S 3rd St, San Jose, CA, 95112</t>
  </si>
  <si>
    <t>383 S 3rd St, San Jose, CA, 95112</t>
  </si>
  <si>
    <t>354 S 2nd St, San Jose, CA, 95113</t>
  </si>
  <si>
    <t>496 S 2nd St, San Jose, CA, 95113</t>
  </si>
  <si>
    <t>456 S 2nd St, San Jose, CA, 95113</t>
  </si>
  <si>
    <t>900 S 2nd St, San Jose, CA, 95112</t>
  </si>
  <si>
    <t>Mortuaries</t>
  </si>
  <si>
    <t>143 E Virginia St, San Jose, CA, 95112</t>
  </si>
  <si>
    <t>617 S 3rd St, San Jose, CA, 95112</t>
  </si>
  <si>
    <t>545 S 2nd St, San Jose, CA, 95112</t>
  </si>
  <si>
    <t>551 S 2nd St, San Jose, CA, 95112</t>
  </si>
  <si>
    <t>161 Patterson St, San Jose, CA, 95112</t>
  </si>
  <si>
    <t>599 S 4th St, San Jose, CA, 95112</t>
  </si>
  <si>
    <t>1250 Story Rd, San Jose, CA, 95122</t>
  </si>
  <si>
    <t>1718 Senter Rd, San Jose, CA, 95112</t>
  </si>
  <si>
    <t>1564 McKee Rd, San Jose, CA, 95116</t>
  </si>
  <si>
    <t>1570 McKee Rd, San Jose, CA, 95116</t>
  </si>
  <si>
    <t>2277 Alum Rock Ave, San Jose, CA, 95116</t>
  </si>
  <si>
    <t>1915 Alum Rock Ave, San Jose, CA, 95116</t>
  </si>
  <si>
    <t>1925 Alum Rock Ave, San Jose, CA, 95116</t>
  </si>
  <si>
    <t>1810 Alum Rock Ave, San Jose, CA, 95116</t>
  </si>
  <si>
    <t>2070 Alum Rock Ave, San Jose, CA, 95116</t>
  </si>
  <si>
    <t>29 S Jackson Ave, San Jose, CA, 95116</t>
  </si>
  <si>
    <t>1717 Kammerer Ave, San Jose, CA, 95116</t>
  </si>
  <si>
    <t>4001 N 1st St, San Jose, CA, 95134</t>
  </si>
  <si>
    <t>IP - Industrial Park</t>
  </si>
  <si>
    <t>3939 N 1st St, San Jose, CA, 95134</t>
  </si>
  <si>
    <t>410 S King Rd, San Jose, CA, 95116</t>
  </si>
  <si>
    <t>1710 Berryessa Rd, San Jose, CA, 95133</t>
  </si>
  <si>
    <t>964 Lundy Ave, San Jose, CA, 95133</t>
  </si>
  <si>
    <t>3331 N 1st St, San Jose, CA, 95134</t>
  </si>
  <si>
    <t>210 Baypointe Pkwy, San Jose, CA, 95134</t>
  </si>
  <si>
    <t>240 Baypointe Pkwy, San Jose, CA, 95134</t>
  </si>
  <si>
    <t>255 Baypointe Pkwy, San Jose, CA, 95134</t>
  </si>
  <si>
    <t>191 Baypointe Pkwy, San Jose, CA, 95134</t>
  </si>
  <si>
    <t>178 E Tasman Dr, San Jose, CA, 95134</t>
  </si>
  <si>
    <t>1814 Hillsdale Ave, San Jose, CA, 95124</t>
  </si>
  <si>
    <t>111 Baypointe Pkwy, San Jose, CA, 95134</t>
  </si>
  <si>
    <t>2470 Berryessa Rd, San Jose, CA, 95133</t>
  </si>
  <si>
    <t>3550 N 1st St, San Jose, CA, 95134</t>
  </si>
  <si>
    <t>155 River Oaks Pkwy, San Jose, CA, 95134</t>
  </si>
  <si>
    <t>Agriculture: Orchard</t>
  </si>
  <si>
    <t>3725 Union Ave, San Jose, CA, 95124</t>
  </si>
  <si>
    <t>1228 Lincoln Ave, San Jose, CA, 95125</t>
  </si>
  <si>
    <t>1133 Lincoln Ave, San Jose, CA, 95125</t>
  </si>
  <si>
    <t>1221 Lincoln Ave, San Jose, CA, 95125</t>
  </si>
  <si>
    <t>1245 Lincoln Ave, San Jose, CA, 95125</t>
  </si>
  <si>
    <t>101 Daggett Dr, San Jose, CA, 95134</t>
  </si>
  <si>
    <t>2865 Zanker Rd, San Jose, CA, 95134</t>
  </si>
  <si>
    <t>3011 N 1st St, San Jose, CA, 95134</t>
  </si>
  <si>
    <t>3003 N 1st St, San Jose, CA, 95134</t>
  </si>
  <si>
    <t>2904 Orchard Pkwy, San Jose, CA, 95134</t>
  </si>
  <si>
    <t>3000 Orchard Pkwy, San Jose, CA, 95134</t>
  </si>
  <si>
    <t>2820 Orchard Pkwy, San Jose, CA, 95134</t>
  </si>
  <si>
    <t>2825 N 1st St, San Jose, CA, 95134</t>
  </si>
  <si>
    <t>820 Malone Rd, San Jose, CA, 95125</t>
  </si>
  <si>
    <t>1399 Foxworthy Ave, San Jose, CA, 95118</t>
  </si>
  <si>
    <t>1083 Foxworthy Ave, San Jose, CA, 95118</t>
  </si>
  <si>
    <t>2288 Lincoln Ave, San Jose, CA, 95125</t>
  </si>
  <si>
    <t>3 W Plumeria Dr, San Jose, CA, 95134</t>
  </si>
  <si>
    <t>2078 Evans Ln, San Jose, CA, 95125</t>
  </si>
  <si>
    <t>463 Blossom Hill Rd G, San Jose, CA, RD G</t>
  </si>
  <si>
    <t>Primary Metal Industries</t>
  </si>
  <si>
    <t>Public Warehousing</t>
  </si>
  <si>
    <t>Commercial Open Spaces Uses, Public Parking Lots</t>
  </si>
  <si>
    <t>Utilities and Communications</t>
  </si>
  <si>
    <t>1480 Liberty St, San Jose, CA, 95002</t>
  </si>
  <si>
    <t>motel</t>
  </si>
  <si>
    <t>APN</t>
  </si>
  <si>
    <t>Min Density Allowed</t>
  </si>
  <si>
    <t>Max Density</t>
  </si>
  <si>
    <t>Parcel Size</t>
  </si>
  <si>
    <t>Existing Use/Vacancy</t>
  </si>
  <si>
    <t>Infrastructure</t>
  </si>
  <si>
    <t>Publicly Owned</t>
  </si>
  <si>
    <t>Site Status</t>
  </si>
  <si>
    <t>Identified in last two cycles</t>
  </si>
  <si>
    <t>Lower Income Capacity</t>
  </si>
  <si>
    <t>Moderate Income Capacity</t>
  </si>
  <si>
    <t>Above Moderate Income Capacity</t>
  </si>
  <si>
    <t>Total Capacity</t>
  </si>
  <si>
    <t>Optional Information</t>
  </si>
  <si>
    <t>Not used in prior housing element</t>
  </si>
  <si>
    <t>ID</t>
  </si>
  <si>
    <t>Used in Prior Housing Element - Non-Vacant</t>
  </si>
  <si>
    <t>YES - Current</t>
  </si>
  <si>
    <t>NO - Privately-Owned</t>
  </si>
  <si>
    <t>Available</t>
  </si>
  <si>
    <t>Residential permitted pursuant to GP Policy H-2.9</t>
  </si>
  <si>
    <t>Residential permitted pursuant to General Plan Policy IP-5.12</t>
  </si>
  <si>
    <t>YES - City-Owned</t>
  </si>
  <si>
    <t>IP(PD)</t>
  </si>
  <si>
    <t>planned development zoning with base IP uses</t>
  </si>
  <si>
    <t xml:space="preserve">CP </t>
  </si>
  <si>
    <t>commercial, office, mixed-use residential; https://library.municode.com/ca/san_jose/codes/code_of_ordinances?nodeId=TIT20ZO_CH20.40COZODIPUQUBLZODI_PT2USAL_20.40.100ALUSPERE</t>
  </si>
  <si>
    <t xml:space="preserve">CG </t>
  </si>
  <si>
    <t>CN</t>
  </si>
  <si>
    <t>CO</t>
  </si>
  <si>
    <t>commercial, office; https://library.municode.com/ca/san_jose/codes/code_of_ordinances?nodeId=TIT20ZO_CH20.40COZODIPUQUBLZODI_PT2USAL_20.40.100ALUSPERE</t>
  </si>
  <si>
    <t>DC</t>
  </si>
  <si>
    <t>office, residential, mixed use, commercial, entertainment; https://library.municode.com/ca/san_jose/codes/code_of_ordinances?nodeId=TIT20ZO_CH20.70DOZORE_PT2USAL_20.70.100ALUSPERE</t>
  </si>
  <si>
    <t>DC-NT1</t>
  </si>
  <si>
    <t>MS-G</t>
  </si>
  <si>
    <t>office, residential, mixed use, commercial, entertainment, pubilc gathering; https://library.municode.com/ca/san_jose/codes/code_of_ordinances?nodeId=TIT20ZO_CH20.75PEORZODI_PT3USRE_20.75.200ALUSPERE</t>
  </si>
  <si>
    <t>HI</t>
  </si>
  <si>
    <t>heavy manufacturing, service yards, industrial uses; https://library.municode.com/ca/san_jose/codes/code_of_ordinances?nodeId=TIT20ZO_CH20.50INZODI_PT2USAL_20.50.100ALUSPERE</t>
  </si>
  <si>
    <t xml:space="preserve">IP </t>
  </si>
  <si>
    <t>office/industrial, research &amp; development, assembly; https://library.municode.com/ca/san_jose/codes/code_of_ordinances?nodeId=TIT20ZO_CH20.50INZODI_PT2USAL_20.50.100ALUSPERE</t>
  </si>
  <si>
    <t>LI</t>
  </si>
  <si>
    <t>warehousing, wholesale, light manufacturing; https://library.municode.com/ca/san_jose/codes/code_of_ordinances?nodeId=TIT20ZO_CH20.50INZODI_PT2USAL_20.50.100ALUSPERE</t>
  </si>
  <si>
    <t>A</t>
  </si>
  <si>
    <t>agriculture, single-family; https://library.municode.com/ca/san_jose/codes/code_of_ordinances?nodeId=TIT20ZO_CH20.20OPSPAGZODI_PT2USRE_20.20.100ALUSPERE</t>
  </si>
  <si>
    <t>PQP</t>
  </si>
  <si>
    <t>permanent supportive housing, homeless shelters, schools, churches, community gathering; https://library.municode.com/ca/san_jose/codes/code_of_ordinances?nodeId=TIT20ZO_CH20.40COZODIPUQUBLZODI_PT2USAL_20.40.100ALUSPERE</t>
  </si>
  <si>
    <t>R-1-1</t>
  </si>
  <si>
    <t>low-density residential; https://library.municode.com/ca/san_jose/codes/code_of_ordinances?nodeId=TIT20ZO_CH20.30REZODI_PT2USAL_20.30.100ALUSPERE</t>
  </si>
  <si>
    <t>R-1-8</t>
  </si>
  <si>
    <t>single-family residential;https://library.municode.com/ca/san_jose/codes/code_of_ordinances?nodeId=TIT20ZO_CH20.30REZODI_PT2USAL_20.30.100ALUSPERE</t>
  </si>
  <si>
    <t>R-1-5</t>
  </si>
  <si>
    <t>low density residential; https://library.municode.com/ca/san_jose/codes/code_of_ordinances?nodeId=TIT20ZO_CH20.30REZODI_PT2USAL_20.30.100ALUSPERE</t>
  </si>
  <si>
    <t>R-2</t>
  </si>
  <si>
    <t>single-family residential, duplexes; https://library.municode.com/ca/san_jose/codes/code_of_ordinances?nodeId=TIT20ZO_CH20.30REZODI_PT2USAL_20.30.100ALUSPERE</t>
  </si>
  <si>
    <t>R-M</t>
  </si>
  <si>
    <t>multi-family residential; https://library.municode.com/ca/san_jose/codes/code_of_ordinances?nodeId=TIT20ZO_CH20.30REZODI_PT2USAL_20.30.100ALUSPERE</t>
  </si>
  <si>
    <t>CP(PD)</t>
  </si>
  <si>
    <t>planned development zoning with base CP uses</t>
  </si>
  <si>
    <t>CN(PD)</t>
  </si>
  <si>
    <t>planned development zoning with base CN uses</t>
  </si>
  <si>
    <t>DC(PD)</t>
  </si>
  <si>
    <t>planned development zoning with base DC uses</t>
  </si>
  <si>
    <t>A(PD)</t>
  </si>
  <si>
    <t>planned development zoning with base A uses</t>
  </si>
  <si>
    <t>single-family, duplexes, multi-family, mixed use residential; https://library.municode.com/ca/san_jose/codes/code_of_ordinances?nodeId=TIT20ZO_CH20.55URVIMIUSZODI_PT3USAL_20.55.200ALUSPERE</t>
  </si>
  <si>
    <r>
      <t xml:space="preserve">Zoning Designation
</t>
    </r>
    <r>
      <rPr>
        <b/>
        <sz val="10"/>
        <color theme="0"/>
        <rFont val="arial"/>
        <family val="2"/>
      </rPr>
      <t>From Table A, Column G                                             and Table B, Columns L and N                       (e.g., "R-1")</t>
    </r>
  </si>
  <si>
    <r>
      <t xml:space="preserve">General Land Uses Allowed                                               </t>
    </r>
    <r>
      <rPr>
        <b/>
        <sz val="10"/>
        <color theme="0"/>
        <rFont val="arial"/>
        <family val="2"/>
      </rPr>
      <t xml:space="preserve"> (e.g., "Low-density residential")</t>
    </r>
  </si>
  <si>
    <t>Site Address/Intersection</t>
  </si>
  <si>
    <t>5 Digit ZIP Code</t>
  </si>
  <si>
    <t>Assessor Parcel Number</t>
  </si>
  <si>
    <t>Very Low-Income</t>
  </si>
  <si>
    <t>Low-Income</t>
  </si>
  <si>
    <t>Moderate-Income</t>
  </si>
  <si>
    <t>Above Moderate-Income</t>
  </si>
  <si>
    <t xml:space="preserve">Type of Shortfall
</t>
  </si>
  <si>
    <t>Parcel Size
(Acres)</t>
  </si>
  <si>
    <t>Current General Plan Designation</t>
  </si>
  <si>
    <t>Current Zoning</t>
  </si>
  <si>
    <t>Proposed General Plan (GP) Designation</t>
  </si>
  <si>
    <t>Proposed Zoning</t>
  </si>
  <si>
    <t xml:space="preserve">Minimum Density Allowed </t>
  </si>
  <si>
    <t>Maximum Density Allowed</t>
  </si>
  <si>
    <t>Vacant/
Nonvacant</t>
  </si>
  <si>
    <t>Description of Existing Uses</t>
  </si>
  <si>
    <t>Optional Information1</t>
  </si>
  <si>
    <t>097-07-063</t>
  </si>
  <si>
    <t>Shortfall of Sites</t>
  </si>
  <si>
    <t>Industrial Park with AHOZ overlay</t>
  </si>
  <si>
    <t>AHOZ</t>
  </si>
  <si>
    <t>Vacant</t>
  </si>
  <si>
    <t>097-07-085</t>
  </si>
  <si>
    <t>TERO</t>
  </si>
  <si>
    <t>71 Vista Montana, San Jose, CA</t>
  </si>
  <si>
    <t>097-52-027</t>
  </si>
  <si>
    <t>Nonvacant</t>
  </si>
  <si>
    <t>240 Baypointe Pkwy, San Jose, CA</t>
  </si>
  <si>
    <t>097-07-047</t>
  </si>
  <si>
    <t>255 Baypointe Pkwy, San Jose, CA</t>
  </si>
  <si>
    <t>097-07-028</t>
  </si>
  <si>
    <t>111 Baypointe Pkwy, San Jose, CA</t>
  </si>
  <si>
    <t>097-07-039</t>
  </si>
  <si>
    <t>4001 N 1st St, San Jose, CA</t>
  </si>
  <si>
    <t>097-53-007</t>
  </si>
  <si>
    <t>235-02-031</t>
  </si>
  <si>
    <t>Commercial General</t>
  </si>
  <si>
    <t>Urban Village with AHOZ overlay</t>
  </si>
  <si>
    <t>Hotel</t>
  </si>
  <si>
    <t>1550 N 1st St, San Jose, CA</t>
  </si>
  <si>
    <t>235-02-033</t>
  </si>
  <si>
    <t>Motel</t>
  </si>
  <si>
    <t>1490 N 1st St, San Jose, CA</t>
  </si>
  <si>
    <t>235-02-035</t>
  </si>
  <si>
    <t>Commercial Neighborhood</t>
  </si>
  <si>
    <t>3939 N 1st St, San Jose, CA</t>
  </si>
  <si>
    <t>097-53-008</t>
  </si>
  <si>
    <t>Industrial Park with MIHOZ overlay</t>
  </si>
  <si>
    <t>MIHOZ</t>
  </si>
  <si>
    <t>3331 N 1st St, San Jose, CA</t>
  </si>
  <si>
    <t>097-06-032</t>
  </si>
  <si>
    <t>3550 N 1st St, San Jose, CA</t>
  </si>
  <si>
    <t>097-07-040</t>
  </si>
  <si>
    <t>2347 N 1st St, San Jose, CA</t>
  </si>
  <si>
    <t>101-02-011</t>
  </si>
  <si>
    <t>Industrial Park (Planned Development)</t>
  </si>
  <si>
    <t>Transit Employment Center with MIHOZ overlay</t>
  </si>
  <si>
    <t>101 Daggett Dr, San Jose, CA</t>
  </si>
  <si>
    <t>101-30-004</t>
  </si>
  <si>
    <t>2865 Zanker Rd, San Jose, CA</t>
  </si>
  <si>
    <t>101-30-006</t>
  </si>
  <si>
    <t>3011 N 1st St, San Jose, CA</t>
  </si>
  <si>
    <t>101-29-005</t>
  </si>
  <si>
    <t>3003 N 1st St, San Jose, CA</t>
  </si>
  <si>
    <t>101-29-007</t>
  </si>
  <si>
    <t>Agriculture (Planned Development)</t>
  </si>
  <si>
    <t>2904 Orchard Pkwy, San Jose, CA</t>
  </si>
  <si>
    <t>101-29-011</t>
  </si>
  <si>
    <t>3000 Orchard Pkwy, San Jose, CA</t>
  </si>
  <si>
    <t>101-29-006</t>
  </si>
  <si>
    <t>2820 Orchard Pkwy, San Jose, CA</t>
  </si>
  <si>
    <t>101-29-010</t>
  </si>
  <si>
    <t>2825 N 1st St, San Jose, CA</t>
  </si>
  <si>
    <t>101-29-013</t>
  </si>
  <si>
    <t>3 W Plumeria Dr, San Jose, CA</t>
  </si>
  <si>
    <t>101-29-012</t>
  </si>
  <si>
    <t>1601 Technology Dr, San Jose, CA</t>
  </si>
  <si>
    <t>230-29-117</t>
  </si>
  <si>
    <t>Industrial Park with TERO overlay</t>
  </si>
  <si>
    <t>Table B: Candidate Sites Identified to be Rezoned to Accommodate Shortfall Housing Need, Table Starts in Cell A2</t>
  </si>
  <si>
    <t>Jurisdiction Name</t>
  </si>
  <si>
    <t>SAN JOSE</t>
  </si>
  <si>
    <t>YES - Special District-Owned</t>
  </si>
  <si>
    <t>Proposed Rezoning to Mixed Income Housing Overlay</t>
  </si>
  <si>
    <t>Proposed Rezoning to Affordable Housing  Overlay</t>
  </si>
  <si>
    <t>Residential permitted pursuant to Transit Employment Residential Overlay</t>
  </si>
  <si>
    <t xml:space="preserve">residential </t>
  </si>
  <si>
    <t>Housing Element Sites Inventory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</si>
</sst>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2"/>
      <color theme="1"/>
      <name val="Arial"/>
      <family val="2"/>
    </font>
    <font>
      <b/>
      <sz val="12"/>
      <color theme="0"/>
      <name val="Arial"/>
      <family val="2"/>
    </font>
    <font>
      <b/>
      <sz val="10"/>
      <color theme="0"/>
      <name val="arial"/>
      <family val="2"/>
    </font>
    <font>
      <sz val="12"/>
      <color theme="1"/>
      <name val="Calibri"/>
      <family val="2"/>
      <scheme val="minor"/>
    </font>
    <font>
      <b/>
      <sz val="13"/>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3"/>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theme="4" tint="0.39997558519241921"/>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auto="1"/>
      </top>
      <bottom style="thin">
        <color theme="4" tint="0.39997558519241921"/>
      </bottom>
      <diagonal/>
    </border>
    <border>
      <left/>
      <right style="thin">
        <color indexed="64"/>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6">
    <xf numFmtId="0" fontId="0" fillId="0" borderId="0" xfId="0"/>
    <xf numFmtId="2" fontId="0" fillId="0" borderId="0" xfId="0" applyNumberFormat="1"/>
    <xf numFmtId="0" fontId="0" fillId="0" borderId="0" xfId="0" applyFill="1"/>
    <xf numFmtId="0" fontId="18" fillId="0" borderId="0" xfId="0" applyFont="1"/>
    <xf numFmtId="0" fontId="19" fillId="33" borderId="10" xfId="0" applyFont="1" applyFill="1" applyBorder="1"/>
    <xf numFmtId="0" fontId="19" fillId="0" borderId="10" xfId="0" applyFont="1" applyBorder="1"/>
    <xf numFmtId="0" fontId="20" fillId="34" borderId="11"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0" fillId="34" borderId="13" xfId="0" applyFont="1" applyFill="1" applyBorder="1" applyAlignment="1">
      <alignment horizontal="center" vertical="center" wrapText="1"/>
    </xf>
    <xf numFmtId="0" fontId="20" fillId="34" borderId="14" xfId="0" applyFont="1" applyFill="1" applyBorder="1" applyAlignment="1">
      <alignment horizontal="center" vertical="center" wrapText="1"/>
    </xf>
    <xf numFmtId="0" fontId="19" fillId="33" borderId="15" xfId="0" applyFont="1" applyFill="1" applyBorder="1"/>
    <xf numFmtId="0" fontId="19" fillId="33" borderId="16" xfId="0" applyFont="1" applyFill="1" applyBorder="1"/>
    <xf numFmtId="0" fontId="22" fillId="33" borderId="10" xfId="0" applyFont="1" applyFill="1" applyBorder="1"/>
    <xf numFmtId="0" fontId="19" fillId="0" borderId="15" xfId="0" applyFont="1" applyBorder="1"/>
    <xf numFmtId="0" fontId="19" fillId="0" borderId="16" xfId="0" applyFont="1" applyBorder="1"/>
    <xf numFmtId="0" fontId="22" fillId="0" borderId="10" xfId="0" applyFont="1" applyBorder="1"/>
    <xf numFmtId="0" fontId="22" fillId="0" borderId="11" xfId="0" applyFont="1" applyBorder="1"/>
    <xf numFmtId="0" fontId="22" fillId="33" borderId="11" xfId="0" applyFont="1" applyFill="1" applyBorder="1"/>
    <xf numFmtId="0" fontId="20" fillId="34" borderId="11" xfId="0" applyFont="1" applyFill="1" applyBorder="1" applyAlignment="1" applyProtection="1">
      <alignment horizontal="center" vertical="center" wrapText="1"/>
      <protection locked="0"/>
    </xf>
    <xf numFmtId="0" fontId="23" fillId="0" borderId="0" xfId="0" applyFont="1" applyAlignment="1">
      <alignment wrapText="1"/>
    </xf>
    <xf numFmtId="2" fontId="23" fillId="0" borderId="0" xfId="0" applyNumberFormat="1" applyFont="1" applyAlignment="1">
      <alignment wrapText="1"/>
    </xf>
    <xf numFmtId="2" fontId="0" fillId="0" borderId="0" xfId="0" applyNumberFormat="1" applyFill="1"/>
    <xf numFmtId="0" fontId="18" fillId="0" borderId="0" xfId="0" applyFont="1" applyFill="1"/>
    <xf numFmtId="0" fontId="23" fillId="0" borderId="0" xfId="0" applyFont="1" applyAlignment="1">
      <alignment horizontal="left" wrapText="1"/>
    </xf>
    <xf numFmtId="0" fontId="0" fillId="0" borderId="0" xfId="0" applyAlignment="1">
      <alignment wrapText="1"/>
    </xf>
    <xf numFmtId="0" fontId="0" fillId="0" borderId="0" xfId="0" applyFill="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76"/>
  <sheetViews>
    <sheetView workbookViewId="0">
      <selection activeCell="E20" sqref="E20"/>
    </sheetView>
  </sheetViews>
  <sheetFormatPr defaultRowHeight="15" x14ac:dyDescent="0.25"/>
  <cols>
    <col min="2" max="2" width="43.140625" bestFit="1" customWidth="1"/>
    <col min="3" max="3" width="8.7109375" bestFit="1" customWidth="1"/>
    <col min="4" max="4" width="10.5703125" bestFit="1" customWidth="1"/>
    <col min="5" max="5" width="36.85546875" bestFit="1" customWidth="1"/>
    <col min="6" max="6" width="41.5703125" customWidth="1"/>
    <col min="7" max="7" width="13.5703125" customWidth="1"/>
    <col min="8" max="8" width="12.28515625" customWidth="1"/>
    <col min="9" max="9" width="11" style="1" customWidth="1"/>
    <col min="10" max="10" width="68.7109375" style="24" customWidth="1"/>
    <col min="11" max="13" width="28.7109375" customWidth="1"/>
    <col min="14" max="14" width="40.7109375" customWidth="1"/>
    <col min="15" max="15" width="16.42578125" customWidth="1"/>
    <col min="16" max="16" width="16.5703125" customWidth="1"/>
    <col min="17" max="17" width="17.85546875" customWidth="1"/>
    <col min="18" max="18" width="23.28515625" bestFit="1" customWidth="1"/>
    <col min="19" max="19" width="24.7109375" bestFit="1" customWidth="1"/>
    <col min="20" max="20" width="68.85546875" bestFit="1" customWidth="1"/>
  </cols>
  <sheetData>
    <row r="1" spans="1:20" ht="24.75" customHeight="1" x14ac:dyDescent="0.3">
      <c r="A1" s="23" t="s">
        <v>622</v>
      </c>
      <c r="B1" s="23"/>
      <c r="C1" s="19"/>
      <c r="D1" s="19"/>
      <c r="E1" s="19"/>
    </row>
    <row r="2" spans="1:20" s="19" customFormat="1" ht="36" customHeight="1" x14ac:dyDescent="0.3">
      <c r="A2" s="19" t="s">
        <v>482</v>
      </c>
      <c r="B2" s="19" t="s">
        <v>0</v>
      </c>
      <c r="C2" s="19" t="s">
        <v>4</v>
      </c>
      <c r="D2" s="19" t="s">
        <v>467</v>
      </c>
      <c r="E2" s="19" t="s">
        <v>1</v>
      </c>
      <c r="F2" s="19" t="s">
        <v>2</v>
      </c>
      <c r="G2" s="19" t="s">
        <v>468</v>
      </c>
      <c r="H2" s="19" t="s">
        <v>469</v>
      </c>
      <c r="I2" s="20" t="s">
        <v>470</v>
      </c>
      <c r="J2" s="19" t="s">
        <v>471</v>
      </c>
      <c r="K2" s="19" t="s">
        <v>472</v>
      </c>
      <c r="L2" s="19" t="s">
        <v>473</v>
      </c>
      <c r="M2" s="19" t="s">
        <v>474</v>
      </c>
      <c r="N2" s="19" t="s">
        <v>475</v>
      </c>
      <c r="O2" s="19" t="s">
        <v>476</v>
      </c>
      <c r="P2" s="19" t="s">
        <v>477</v>
      </c>
      <c r="Q2" s="19" t="s">
        <v>478</v>
      </c>
      <c r="R2" s="19" t="s">
        <v>3</v>
      </c>
      <c r="S2" s="19" t="s">
        <v>479</v>
      </c>
      <c r="T2" s="19" t="s">
        <v>480</v>
      </c>
    </row>
    <row r="3" spans="1:20" s="2" customFormat="1" x14ac:dyDescent="0.25">
      <c r="A3" s="2">
        <v>1</v>
      </c>
      <c r="B3" s="2" t="s">
        <v>5</v>
      </c>
      <c r="C3" s="2">
        <v>95120</v>
      </c>
      <c r="D3" s="2" t="str">
        <f>"577-09-056"</f>
        <v>577-09-056</v>
      </c>
      <c r="E3" s="2" t="s">
        <v>6</v>
      </c>
      <c r="F3" s="2" t="s">
        <v>33</v>
      </c>
      <c r="G3" s="2">
        <v>0</v>
      </c>
      <c r="H3" s="2">
        <v>0</v>
      </c>
      <c r="I3" s="21">
        <v>0.54602935998007396</v>
      </c>
      <c r="J3" s="25" t="s">
        <v>8</v>
      </c>
      <c r="K3" s="2" t="s">
        <v>484</v>
      </c>
      <c r="L3" s="2" t="s">
        <v>485</v>
      </c>
      <c r="M3" s="2" t="s">
        <v>486</v>
      </c>
      <c r="N3" s="2" t="s">
        <v>481</v>
      </c>
      <c r="O3" s="2">
        <f>S3</f>
        <v>40</v>
      </c>
      <c r="R3" s="2" t="s">
        <v>9</v>
      </c>
      <c r="S3" s="2">
        <v>40</v>
      </c>
      <c r="T3" s="22" t="s">
        <v>487</v>
      </c>
    </row>
    <row r="4" spans="1:20" x14ac:dyDescent="0.25">
      <c r="A4">
        <v>2</v>
      </c>
      <c r="B4" t="s">
        <v>10</v>
      </c>
      <c r="C4">
        <v>95126</v>
      </c>
      <c r="D4" t="str">
        <f>"261-01-106"</f>
        <v>261-01-106</v>
      </c>
      <c r="E4" t="s">
        <v>11</v>
      </c>
      <c r="F4" t="s">
        <v>11</v>
      </c>
      <c r="G4">
        <v>55</v>
      </c>
      <c r="H4">
        <v>250</v>
      </c>
      <c r="I4" s="1">
        <v>0.94693806870937403</v>
      </c>
      <c r="J4" s="24" t="s">
        <v>12</v>
      </c>
      <c r="K4" t="s">
        <v>484</v>
      </c>
      <c r="L4" t="s">
        <v>485</v>
      </c>
      <c r="M4" t="s">
        <v>486</v>
      </c>
      <c r="N4" t="s">
        <v>483</v>
      </c>
      <c r="O4">
        <f>S4</f>
        <v>104</v>
      </c>
      <c r="R4" t="s">
        <v>9</v>
      </c>
      <c r="S4">
        <v>104</v>
      </c>
    </row>
    <row r="5" spans="1:20" x14ac:dyDescent="0.25">
      <c r="A5">
        <v>3</v>
      </c>
      <c r="B5" t="s">
        <v>13</v>
      </c>
      <c r="C5">
        <v>95126</v>
      </c>
      <c r="D5" t="str">
        <f>"261-09-083"</f>
        <v>261-09-083</v>
      </c>
      <c r="E5" t="s">
        <v>6</v>
      </c>
      <c r="F5" t="s">
        <v>33</v>
      </c>
      <c r="G5">
        <v>0</v>
      </c>
      <c r="H5">
        <v>0</v>
      </c>
      <c r="I5" s="1">
        <v>0.84028621813064497</v>
      </c>
      <c r="J5" s="24" t="s">
        <v>14</v>
      </c>
      <c r="K5" t="s">
        <v>484</v>
      </c>
      <c r="L5" t="s">
        <v>485</v>
      </c>
      <c r="M5" t="s">
        <v>486</v>
      </c>
      <c r="N5" s="2" t="s">
        <v>481</v>
      </c>
      <c r="O5">
        <f>S5</f>
        <v>71</v>
      </c>
      <c r="R5" t="s">
        <v>9</v>
      </c>
      <c r="S5">
        <v>71</v>
      </c>
      <c r="T5" s="3" t="s">
        <v>487</v>
      </c>
    </row>
    <row r="6" spans="1:20" x14ac:dyDescent="0.25">
      <c r="A6">
        <v>4</v>
      </c>
      <c r="B6" t="s">
        <v>15</v>
      </c>
      <c r="C6">
        <v>95131</v>
      </c>
      <c r="D6" t="str">
        <f>"101-02-011"</f>
        <v>101-02-011</v>
      </c>
      <c r="E6" t="s">
        <v>16</v>
      </c>
      <c r="F6" t="s">
        <v>16</v>
      </c>
      <c r="G6">
        <v>0</v>
      </c>
      <c r="H6">
        <v>0</v>
      </c>
      <c r="I6" s="1">
        <v>40.583741105294799</v>
      </c>
      <c r="J6" s="24" t="s">
        <v>17</v>
      </c>
      <c r="K6" t="s">
        <v>484</v>
      </c>
      <c r="L6" t="s">
        <v>485</v>
      </c>
      <c r="M6" t="s">
        <v>486</v>
      </c>
      <c r="N6" s="2" t="s">
        <v>481</v>
      </c>
      <c r="O6">
        <v>960</v>
      </c>
      <c r="Q6">
        <v>2879</v>
      </c>
      <c r="R6" t="s">
        <v>18</v>
      </c>
      <c r="S6">
        <v>3839</v>
      </c>
      <c r="T6" t="s">
        <v>618</v>
      </c>
    </row>
    <row r="7" spans="1:20" x14ac:dyDescent="0.25">
      <c r="A7">
        <v>5</v>
      </c>
      <c r="B7" t="s">
        <v>19</v>
      </c>
      <c r="C7">
        <v>95112</v>
      </c>
      <c r="D7" t="str">
        <f>"235-02-031"</f>
        <v>235-02-031</v>
      </c>
      <c r="E7" t="s">
        <v>11</v>
      </c>
      <c r="F7" t="s">
        <v>11</v>
      </c>
      <c r="G7">
        <v>55</v>
      </c>
      <c r="H7">
        <v>250</v>
      </c>
      <c r="I7" s="1">
        <v>1.44210305330455</v>
      </c>
      <c r="J7" s="24" t="s">
        <v>466</v>
      </c>
      <c r="K7" t="s">
        <v>484</v>
      </c>
      <c r="L7" t="s">
        <v>489</v>
      </c>
      <c r="M7" t="s">
        <v>486</v>
      </c>
      <c r="N7" t="s">
        <v>483</v>
      </c>
      <c r="O7">
        <f>S7</f>
        <v>72</v>
      </c>
      <c r="R7" t="s">
        <v>9</v>
      </c>
      <c r="S7">
        <v>72</v>
      </c>
      <c r="T7" t="s">
        <v>619</v>
      </c>
    </row>
    <row r="8" spans="1:20" x14ac:dyDescent="0.25">
      <c r="A8">
        <v>6</v>
      </c>
      <c r="B8" t="s">
        <v>21</v>
      </c>
      <c r="C8">
        <v>95112</v>
      </c>
      <c r="D8" t="str">
        <f>"235-02-033"</f>
        <v>235-02-033</v>
      </c>
      <c r="E8" t="s">
        <v>11</v>
      </c>
      <c r="F8" t="s">
        <v>11</v>
      </c>
      <c r="G8">
        <v>55</v>
      </c>
      <c r="H8">
        <v>250</v>
      </c>
      <c r="I8" s="1">
        <v>1.47975538353401</v>
      </c>
      <c r="J8" s="24" t="s">
        <v>12</v>
      </c>
      <c r="K8" t="s">
        <v>484</v>
      </c>
      <c r="L8" t="s">
        <v>485</v>
      </c>
      <c r="M8" t="s">
        <v>486</v>
      </c>
      <c r="N8" t="s">
        <v>483</v>
      </c>
      <c r="O8">
        <f>S8</f>
        <v>74</v>
      </c>
      <c r="R8" t="s">
        <v>9</v>
      </c>
      <c r="S8">
        <v>74</v>
      </c>
      <c r="T8" t="s">
        <v>619</v>
      </c>
    </row>
    <row r="9" spans="1:20" x14ac:dyDescent="0.25">
      <c r="A9">
        <v>7</v>
      </c>
      <c r="B9" t="s">
        <v>22</v>
      </c>
      <c r="C9">
        <v>95112</v>
      </c>
      <c r="D9" t="str">
        <f>"472-26-086"</f>
        <v>472-26-086</v>
      </c>
      <c r="E9" t="s">
        <v>23</v>
      </c>
      <c r="F9" t="s">
        <v>24</v>
      </c>
      <c r="G9">
        <v>0</v>
      </c>
      <c r="H9">
        <v>800</v>
      </c>
      <c r="I9" s="1">
        <v>0.18638508759639399</v>
      </c>
      <c r="J9" s="24" t="s">
        <v>12</v>
      </c>
      <c r="K9" t="s">
        <v>484</v>
      </c>
      <c r="L9" t="s">
        <v>485</v>
      </c>
      <c r="M9" t="s">
        <v>486</v>
      </c>
      <c r="P9">
        <f>S9</f>
        <v>79</v>
      </c>
      <c r="R9" t="s">
        <v>25</v>
      </c>
      <c r="S9">
        <v>79</v>
      </c>
    </row>
    <row r="10" spans="1:20" x14ac:dyDescent="0.25">
      <c r="A10">
        <v>8</v>
      </c>
      <c r="B10" t="s">
        <v>26</v>
      </c>
      <c r="C10">
        <v>95117</v>
      </c>
      <c r="D10" t="str">
        <f>"303-28-072"</f>
        <v>303-28-072</v>
      </c>
      <c r="E10" t="s">
        <v>11</v>
      </c>
      <c r="F10" t="s">
        <v>11</v>
      </c>
      <c r="G10">
        <v>65</v>
      </c>
      <c r="H10">
        <v>250</v>
      </c>
      <c r="I10" s="1">
        <v>1.5636395414559301</v>
      </c>
      <c r="J10" s="24" t="s">
        <v>12</v>
      </c>
      <c r="K10" t="s">
        <v>484</v>
      </c>
      <c r="L10" t="s">
        <v>485</v>
      </c>
      <c r="M10" t="s">
        <v>486</v>
      </c>
      <c r="N10" s="2" t="s">
        <v>481</v>
      </c>
      <c r="O10">
        <f>S10</f>
        <v>102</v>
      </c>
      <c r="R10" t="s">
        <v>9</v>
      </c>
      <c r="S10">
        <v>102</v>
      </c>
    </row>
    <row r="11" spans="1:20" x14ac:dyDescent="0.25">
      <c r="A11">
        <v>9</v>
      </c>
      <c r="B11" t="s">
        <v>27</v>
      </c>
      <c r="C11">
        <v>95136</v>
      </c>
      <c r="D11" t="str">
        <f>"455-71-030"</f>
        <v>455-71-030</v>
      </c>
      <c r="E11" t="s">
        <v>28</v>
      </c>
      <c r="F11" t="s">
        <v>7</v>
      </c>
      <c r="G11">
        <v>0</v>
      </c>
      <c r="H11">
        <v>8</v>
      </c>
      <c r="I11" s="1">
        <v>1.0289561224578301</v>
      </c>
      <c r="J11" s="24" t="s">
        <v>17</v>
      </c>
      <c r="K11" t="s">
        <v>484</v>
      </c>
      <c r="L11" t="s">
        <v>485</v>
      </c>
      <c r="M11" t="s">
        <v>486</v>
      </c>
      <c r="P11">
        <f>S11</f>
        <v>6</v>
      </c>
      <c r="R11" t="s">
        <v>25</v>
      </c>
      <c r="S11">
        <v>6</v>
      </c>
    </row>
    <row r="12" spans="1:20" x14ac:dyDescent="0.25">
      <c r="A12">
        <v>10</v>
      </c>
      <c r="B12" t="s">
        <v>29</v>
      </c>
      <c r="C12">
        <v>95112</v>
      </c>
      <c r="D12" t="str">
        <f>"235-02-035"</f>
        <v>235-02-035</v>
      </c>
      <c r="E12" t="s">
        <v>11</v>
      </c>
      <c r="F12" t="s">
        <v>11</v>
      </c>
      <c r="G12">
        <v>55</v>
      </c>
      <c r="H12">
        <v>250</v>
      </c>
      <c r="I12" s="1">
        <v>0.52857531272980796</v>
      </c>
      <c r="J12" s="24" t="s">
        <v>12</v>
      </c>
      <c r="K12" t="s">
        <v>484</v>
      </c>
      <c r="L12" t="s">
        <v>485</v>
      </c>
      <c r="M12" t="s">
        <v>486</v>
      </c>
      <c r="N12" t="s">
        <v>483</v>
      </c>
      <c r="O12">
        <f>S12</f>
        <v>75</v>
      </c>
      <c r="R12" t="s">
        <v>9</v>
      </c>
      <c r="S12">
        <v>75</v>
      </c>
      <c r="T12" t="s">
        <v>619</v>
      </c>
    </row>
    <row r="13" spans="1:20" x14ac:dyDescent="0.25">
      <c r="A13">
        <v>11</v>
      </c>
      <c r="B13" t="s">
        <v>31</v>
      </c>
      <c r="C13">
        <v>95116</v>
      </c>
      <c r="D13" t="str">
        <f>"481-05-037"</f>
        <v>481-05-037</v>
      </c>
      <c r="E13" t="s">
        <v>6</v>
      </c>
      <c r="F13" t="s">
        <v>30</v>
      </c>
      <c r="G13">
        <v>0</v>
      </c>
      <c r="H13">
        <v>0</v>
      </c>
      <c r="I13" s="1">
        <v>0.62986216784450799</v>
      </c>
      <c r="J13" s="24" t="s">
        <v>12</v>
      </c>
      <c r="K13" t="s">
        <v>484</v>
      </c>
      <c r="L13" t="s">
        <v>485</v>
      </c>
      <c r="M13" t="s">
        <v>486</v>
      </c>
      <c r="N13" s="2" t="s">
        <v>481</v>
      </c>
      <c r="O13">
        <f>S13</f>
        <v>55</v>
      </c>
      <c r="R13" t="s">
        <v>9</v>
      </c>
      <c r="S13">
        <v>55</v>
      </c>
      <c r="T13" s="3" t="s">
        <v>487</v>
      </c>
    </row>
    <row r="14" spans="1:20" x14ac:dyDescent="0.25">
      <c r="A14">
        <v>12</v>
      </c>
      <c r="B14" t="s">
        <v>32</v>
      </c>
      <c r="C14">
        <v>95128</v>
      </c>
      <c r="D14" t="str">
        <f>"282-28-026"</f>
        <v>282-28-026</v>
      </c>
      <c r="E14" t="s">
        <v>11</v>
      </c>
      <c r="F14" t="s">
        <v>11</v>
      </c>
      <c r="G14">
        <v>0</v>
      </c>
      <c r="H14">
        <v>150</v>
      </c>
      <c r="I14" s="1">
        <v>1.3766722378957199</v>
      </c>
      <c r="J14" s="24" t="s">
        <v>14</v>
      </c>
      <c r="K14" t="s">
        <v>484</v>
      </c>
      <c r="L14" t="s">
        <v>485</v>
      </c>
      <c r="M14" t="s">
        <v>486</v>
      </c>
      <c r="Q14">
        <f>S14</f>
        <v>111</v>
      </c>
      <c r="R14" t="s">
        <v>34</v>
      </c>
      <c r="S14">
        <v>111</v>
      </c>
    </row>
    <row r="15" spans="1:20" x14ac:dyDescent="0.25">
      <c r="A15">
        <v>13</v>
      </c>
      <c r="B15" t="s">
        <v>35</v>
      </c>
      <c r="C15">
        <v>95128</v>
      </c>
      <c r="D15" t="str">
        <f>"282-28-025"</f>
        <v>282-28-025</v>
      </c>
      <c r="E15" t="s">
        <v>11</v>
      </c>
      <c r="F15" t="s">
        <v>11</v>
      </c>
      <c r="G15">
        <v>0</v>
      </c>
      <c r="H15">
        <v>150</v>
      </c>
      <c r="I15" s="1">
        <v>1.4516288954300001</v>
      </c>
      <c r="J15" s="24" t="s">
        <v>14</v>
      </c>
      <c r="K15" t="s">
        <v>484</v>
      </c>
      <c r="L15" t="s">
        <v>485</v>
      </c>
      <c r="M15" t="s">
        <v>486</v>
      </c>
      <c r="Q15">
        <f>S15</f>
        <v>83</v>
      </c>
      <c r="R15" t="s">
        <v>34</v>
      </c>
      <c r="S15">
        <v>83</v>
      </c>
    </row>
    <row r="16" spans="1:20" x14ac:dyDescent="0.25">
      <c r="A16">
        <v>14</v>
      </c>
      <c r="B16" t="s">
        <v>36</v>
      </c>
      <c r="C16">
        <v>95129</v>
      </c>
      <c r="D16" t="str">
        <f>"296-22-052"</f>
        <v>296-22-052</v>
      </c>
      <c r="E16" t="s">
        <v>37</v>
      </c>
      <c r="F16" t="s">
        <v>37</v>
      </c>
      <c r="G16">
        <v>0</v>
      </c>
      <c r="H16">
        <v>75</v>
      </c>
      <c r="I16" s="1">
        <v>1.2214528113788901</v>
      </c>
      <c r="J16" s="24" t="s">
        <v>14</v>
      </c>
      <c r="K16" t="s">
        <v>484</v>
      </c>
      <c r="L16" t="s">
        <v>485</v>
      </c>
      <c r="M16" t="s">
        <v>486</v>
      </c>
      <c r="P16">
        <f>S16</f>
        <v>87</v>
      </c>
      <c r="R16" t="s">
        <v>25</v>
      </c>
      <c r="S16">
        <v>87</v>
      </c>
    </row>
    <row r="17" spans="1:20" x14ac:dyDescent="0.25">
      <c r="A17">
        <v>15</v>
      </c>
      <c r="B17" t="s">
        <v>38</v>
      </c>
      <c r="C17">
        <v>95125</v>
      </c>
      <c r="D17" t="str">
        <f>"429-07-045"</f>
        <v>429-07-045</v>
      </c>
      <c r="E17" t="s">
        <v>6</v>
      </c>
      <c r="F17" t="s">
        <v>33</v>
      </c>
      <c r="G17">
        <v>0</v>
      </c>
      <c r="H17">
        <v>0</v>
      </c>
      <c r="I17" s="1">
        <v>0.64306637345614803</v>
      </c>
      <c r="J17" s="24" t="s">
        <v>14</v>
      </c>
      <c r="K17" t="s">
        <v>484</v>
      </c>
      <c r="L17" t="s">
        <v>485</v>
      </c>
      <c r="M17" t="s">
        <v>486</v>
      </c>
      <c r="N17" s="2" t="s">
        <v>481</v>
      </c>
      <c r="O17">
        <f>S17</f>
        <v>52</v>
      </c>
      <c r="R17" t="s">
        <v>9</v>
      </c>
      <c r="S17">
        <v>52</v>
      </c>
    </row>
    <row r="18" spans="1:20" x14ac:dyDescent="0.25">
      <c r="A18">
        <v>16</v>
      </c>
      <c r="B18" t="s">
        <v>39</v>
      </c>
      <c r="C18">
        <v>95129</v>
      </c>
      <c r="D18" t="str">
        <f>"381-17-149"</f>
        <v>381-17-149</v>
      </c>
      <c r="E18" t="s">
        <v>6</v>
      </c>
      <c r="F18" t="s">
        <v>33</v>
      </c>
      <c r="G18">
        <v>0</v>
      </c>
      <c r="H18">
        <v>0</v>
      </c>
      <c r="I18" s="1">
        <v>2.1533344812447002</v>
      </c>
      <c r="J18" s="24" t="s">
        <v>14</v>
      </c>
      <c r="K18" t="s">
        <v>484</v>
      </c>
      <c r="L18" t="s">
        <v>485</v>
      </c>
      <c r="M18" t="s">
        <v>486</v>
      </c>
      <c r="N18" s="2" t="s">
        <v>481</v>
      </c>
      <c r="O18">
        <f>S18</f>
        <v>169</v>
      </c>
      <c r="R18" t="s">
        <v>9</v>
      </c>
      <c r="S18">
        <v>169</v>
      </c>
      <c r="T18" t="s">
        <v>488</v>
      </c>
    </row>
    <row r="19" spans="1:20" x14ac:dyDescent="0.25">
      <c r="A19">
        <v>17</v>
      </c>
      <c r="B19" t="s">
        <v>40</v>
      </c>
      <c r="C19">
        <v>95124</v>
      </c>
      <c r="D19" t="str">
        <f>"419-12-049"</f>
        <v>419-12-049</v>
      </c>
      <c r="E19" t="s">
        <v>6</v>
      </c>
      <c r="F19" t="s">
        <v>33</v>
      </c>
      <c r="G19">
        <v>0</v>
      </c>
      <c r="H19">
        <v>0</v>
      </c>
      <c r="I19" s="1">
        <v>1.1793640712117399</v>
      </c>
      <c r="J19" s="24" t="s">
        <v>12</v>
      </c>
      <c r="K19" t="s">
        <v>484</v>
      </c>
      <c r="L19" t="s">
        <v>485</v>
      </c>
      <c r="M19" t="s">
        <v>486</v>
      </c>
      <c r="N19" s="2" t="s">
        <v>481</v>
      </c>
      <c r="O19">
        <f>S19</f>
        <v>102</v>
      </c>
      <c r="R19" t="s">
        <v>9</v>
      </c>
      <c r="S19">
        <v>102</v>
      </c>
      <c r="T19" t="s">
        <v>488</v>
      </c>
    </row>
    <row r="20" spans="1:20" x14ac:dyDescent="0.25">
      <c r="A20">
        <v>18</v>
      </c>
      <c r="B20" t="s">
        <v>41</v>
      </c>
      <c r="C20">
        <v>95125</v>
      </c>
      <c r="D20" t="str">
        <f>"434-19-079"</f>
        <v>434-19-079</v>
      </c>
      <c r="E20" t="s">
        <v>42</v>
      </c>
      <c r="F20" t="s">
        <v>42</v>
      </c>
      <c r="G20">
        <v>0</v>
      </c>
      <c r="H20">
        <v>30</v>
      </c>
      <c r="I20" s="1">
        <v>1.86285140373208</v>
      </c>
      <c r="J20" s="24" t="s">
        <v>43</v>
      </c>
      <c r="K20" t="s">
        <v>484</v>
      </c>
      <c r="L20" t="s">
        <v>485</v>
      </c>
      <c r="M20" t="s">
        <v>486</v>
      </c>
      <c r="N20" s="2" t="s">
        <v>481</v>
      </c>
      <c r="O20">
        <f>S20</f>
        <v>24</v>
      </c>
      <c r="R20" t="s">
        <v>9</v>
      </c>
      <c r="S20">
        <v>24</v>
      </c>
    </row>
    <row r="21" spans="1:20" x14ac:dyDescent="0.25">
      <c r="A21">
        <v>19</v>
      </c>
      <c r="B21" t="s">
        <v>44</v>
      </c>
      <c r="C21">
        <v>95116</v>
      </c>
      <c r="D21" t="str">
        <f>"481-19-143"</f>
        <v>481-19-143</v>
      </c>
      <c r="E21" t="s">
        <v>11</v>
      </c>
      <c r="F21" t="s">
        <v>45</v>
      </c>
      <c r="G21">
        <v>0</v>
      </c>
      <c r="H21">
        <v>250</v>
      </c>
      <c r="I21" s="1">
        <v>0.55157947004190999</v>
      </c>
      <c r="J21" s="24" t="s">
        <v>14</v>
      </c>
      <c r="K21" t="s">
        <v>484</v>
      </c>
      <c r="L21" t="s">
        <v>485</v>
      </c>
      <c r="M21" t="s">
        <v>486</v>
      </c>
      <c r="P21">
        <f>S21</f>
        <v>97</v>
      </c>
      <c r="R21" t="s">
        <v>25</v>
      </c>
      <c r="S21">
        <v>97</v>
      </c>
    </row>
    <row r="22" spans="1:20" x14ac:dyDescent="0.25">
      <c r="A22">
        <v>20</v>
      </c>
      <c r="B22" t="s">
        <v>46</v>
      </c>
      <c r="C22">
        <v>95128</v>
      </c>
      <c r="D22" t="str">
        <f>"274-17-087"</f>
        <v>274-17-087</v>
      </c>
      <c r="E22" t="s">
        <v>37</v>
      </c>
      <c r="F22" t="s">
        <v>37</v>
      </c>
      <c r="G22">
        <v>0</v>
      </c>
      <c r="H22">
        <v>50</v>
      </c>
      <c r="I22" s="1">
        <v>0.87963586365560997</v>
      </c>
      <c r="J22" s="24" t="s">
        <v>12</v>
      </c>
      <c r="K22" t="s">
        <v>484</v>
      </c>
      <c r="L22" t="s">
        <v>485</v>
      </c>
      <c r="M22" t="s">
        <v>486</v>
      </c>
      <c r="Q22">
        <f>S22</f>
        <v>115</v>
      </c>
      <c r="R22" t="s">
        <v>34</v>
      </c>
      <c r="S22">
        <v>115</v>
      </c>
    </row>
    <row r="23" spans="1:20" x14ac:dyDescent="0.25">
      <c r="A23">
        <v>21</v>
      </c>
      <c r="B23" t="s">
        <v>47</v>
      </c>
      <c r="C23">
        <v>95111</v>
      </c>
      <c r="D23" t="str">
        <f>"497-13-061"</f>
        <v>497-13-061</v>
      </c>
      <c r="E23" t="s">
        <v>42</v>
      </c>
      <c r="F23" t="s">
        <v>42</v>
      </c>
      <c r="G23">
        <v>0</v>
      </c>
      <c r="H23">
        <v>30</v>
      </c>
      <c r="I23" s="1">
        <v>0.55675787511784203</v>
      </c>
      <c r="J23" s="24" t="s">
        <v>48</v>
      </c>
      <c r="K23" t="s">
        <v>484</v>
      </c>
      <c r="L23" t="s">
        <v>485</v>
      </c>
      <c r="M23" t="s">
        <v>486</v>
      </c>
      <c r="N23" s="2" t="s">
        <v>481</v>
      </c>
      <c r="O23">
        <f>S23</f>
        <v>17</v>
      </c>
      <c r="R23" t="s">
        <v>9</v>
      </c>
      <c r="S23">
        <v>17</v>
      </c>
    </row>
    <row r="24" spans="1:20" x14ac:dyDescent="0.25">
      <c r="A24">
        <v>22</v>
      </c>
      <c r="B24" t="s">
        <v>49</v>
      </c>
      <c r="C24">
        <v>95122</v>
      </c>
      <c r="D24" t="str">
        <f>"477-34-088"</f>
        <v>477-34-088</v>
      </c>
      <c r="E24" t="s">
        <v>42</v>
      </c>
      <c r="F24" t="s">
        <v>42</v>
      </c>
      <c r="G24">
        <v>0</v>
      </c>
      <c r="H24">
        <v>30</v>
      </c>
      <c r="I24" s="1">
        <v>1.0148053651317299</v>
      </c>
      <c r="J24" s="24" t="s">
        <v>50</v>
      </c>
      <c r="K24" t="s">
        <v>484</v>
      </c>
      <c r="L24" t="s">
        <v>485</v>
      </c>
      <c r="M24" t="s">
        <v>486</v>
      </c>
      <c r="P24">
        <f>S24</f>
        <v>13</v>
      </c>
      <c r="R24" t="s">
        <v>25</v>
      </c>
      <c r="S24">
        <v>13</v>
      </c>
    </row>
    <row r="25" spans="1:20" x14ac:dyDescent="0.25">
      <c r="A25">
        <v>23</v>
      </c>
      <c r="B25" t="s">
        <v>51</v>
      </c>
      <c r="C25">
        <v>95133</v>
      </c>
      <c r="D25" t="str">
        <f>"254-80-022"</f>
        <v>254-80-022</v>
      </c>
      <c r="E25" t="s">
        <v>6</v>
      </c>
      <c r="F25" t="s">
        <v>33</v>
      </c>
      <c r="G25">
        <v>0</v>
      </c>
      <c r="H25">
        <v>0</v>
      </c>
      <c r="I25" s="1">
        <v>0.662265341567702</v>
      </c>
      <c r="J25" s="24" t="s">
        <v>17</v>
      </c>
      <c r="K25" t="s">
        <v>484</v>
      </c>
      <c r="L25" t="s">
        <v>485</v>
      </c>
      <c r="M25" t="s">
        <v>486</v>
      </c>
      <c r="N25" s="2" t="s">
        <v>481</v>
      </c>
      <c r="O25">
        <f>S25</f>
        <v>48</v>
      </c>
      <c r="R25" t="s">
        <v>9</v>
      </c>
      <c r="S25">
        <v>48</v>
      </c>
      <c r="T25" s="3" t="s">
        <v>487</v>
      </c>
    </row>
    <row r="26" spans="1:20" x14ac:dyDescent="0.25">
      <c r="A26">
        <v>24</v>
      </c>
      <c r="B26" t="s">
        <v>52</v>
      </c>
      <c r="C26">
        <v>95133</v>
      </c>
      <c r="D26" t="str">
        <f>"254-80-023"</f>
        <v>254-80-023</v>
      </c>
      <c r="E26" t="s">
        <v>6</v>
      </c>
      <c r="F26" t="s">
        <v>33</v>
      </c>
      <c r="G26">
        <v>0</v>
      </c>
      <c r="H26">
        <v>0</v>
      </c>
      <c r="I26" s="1">
        <v>0.77319178928036303</v>
      </c>
      <c r="J26" s="24" t="s">
        <v>17</v>
      </c>
      <c r="K26" t="s">
        <v>484</v>
      </c>
      <c r="L26" t="s">
        <v>485</v>
      </c>
      <c r="M26" t="s">
        <v>486</v>
      </c>
      <c r="N26" s="2" t="s">
        <v>481</v>
      </c>
      <c r="O26">
        <f>S26</f>
        <v>55</v>
      </c>
      <c r="R26" t="s">
        <v>9</v>
      </c>
      <c r="S26">
        <v>55</v>
      </c>
      <c r="T26" s="3" t="s">
        <v>487</v>
      </c>
    </row>
    <row r="27" spans="1:20" x14ac:dyDescent="0.25">
      <c r="A27">
        <v>25</v>
      </c>
      <c r="B27" t="s">
        <v>53</v>
      </c>
      <c r="C27">
        <v>95133</v>
      </c>
      <c r="D27" t="str">
        <f>"254-80-021"</f>
        <v>254-80-021</v>
      </c>
      <c r="E27" t="s">
        <v>6</v>
      </c>
      <c r="F27" t="s">
        <v>33</v>
      </c>
      <c r="G27">
        <v>0</v>
      </c>
      <c r="H27">
        <v>0</v>
      </c>
      <c r="I27" s="1">
        <v>1.34029749429045</v>
      </c>
      <c r="J27" s="24" t="s">
        <v>17</v>
      </c>
      <c r="K27" t="s">
        <v>484</v>
      </c>
      <c r="L27" t="s">
        <v>485</v>
      </c>
      <c r="M27" t="s">
        <v>486</v>
      </c>
      <c r="N27" s="2" t="s">
        <v>481</v>
      </c>
      <c r="O27">
        <f>S27</f>
        <v>105</v>
      </c>
      <c r="R27" t="s">
        <v>9</v>
      </c>
      <c r="S27">
        <v>105</v>
      </c>
      <c r="T27" s="3" t="s">
        <v>487</v>
      </c>
    </row>
    <row r="28" spans="1:20" x14ac:dyDescent="0.25">
      <c r="A28">
        <v>26</v>
      </c>
      <c r="B28" t="s">
        <v>54</v>
      </c>
      <c r="C28">
        <v>95124</v>
      </c>
      <c r="D28" t="str">
        <f>"419-12-050"</f>
        <v>419-12-050</v>
      </c>
      <c r="E28" t="s">
        <v>6</v>
      </c>
      <c r="F28" t="s">
        <v>33</v>
      </c>
      <c r="G28">
        <v>0</v>
      </c>
      <c r="H28">
        <v>0</v>
      </c>
      <c r="I28" s="1">
        <v>1.5663589826125499</v>
      </c>
      <c r="J28" s="24" t="s">
        <v>12</v>
      </c>
      <c r="K28" t="s">
        <v>484</v>
      </c>
      <c r="L28" t="s">
        <v>485</v>
      </c>
      <c r="M28" t="s">
        <v>486</v>
      </c>
      <c r="N28" s="2" t="s">
        <v>481</v>
      </c>
      <c r="O28">
        <f>S28</f>
        <v>138</v>
      </c>
      <c r="R28" t="s">
        <v>9</v>
      </c>
      <c r="S28">
        <v>138</v>
      </c>
      <c r="T28" t="s">
        <v>488</v>
      </c>
    </row>
    <row r="29" spans="1:20" x14ac:dyDescent="0.25">
      <c r="A29">
        <v>27</v>
      </c>
      <c r="B29" t="s">
        <v>55</v>
      </c>
      <c r="C29">
        <v>95110</v>
      </c>
      <c r="D29" t="str">
        <f>"259-32-087"</f>
        <v>259-32-087</v>
      </c>
      <c r="E29" t="s">
        <v>23</v>
      </c>
      <c r="F29" t="s">
        <v>56</v>
      </c>
      <c r="G29">
        <v>0</v>
      </c>
      <c r="H29">
        <v>800</v>
      </c>
      <c r="I29" s="1">
        <v>0.30541710909887099</v>
      </c>
      <c r="J29" s="24" t="s">
        <v>17</v>
      </c>
      <c r="K29" t="s">
        <v>484</v>
      </c>
      <c r="L29" t="s">
        <v>485</v>
      </c>
      <c r="M29" t="s">
        <v>486</v>
      </c>
      <c r="P29">
        <f>S29</f>
        <v>125</v>
      </c>
      <c r="R29" t="s">
        <v>25</v>
      </c>
      <c r="S29">
        <v>125</v>
      </c>
    </row>
    <row r="30" spans="1:20" x14ac:dyDescent="0.25">
      <c r="A30">
        <v>28</v>
      </c>
      <c r="B30" t="s">
        <v>57</v>
      </c>
      <c r="C30">
        <v>95116</v>
      </c>
      <c r="D30" t="str">
        <f>"484-01-026"</f>
        <v>484-01-026</v>
      </c>
      <c r="E30" t="s">
        <v>11</v>
      </c>
      <c r="F30" t="s">
        <v>45</v>
      </c>
      <c r="G30">
        <v>0</v>
      </c>
      <c r="H30">
        <v>250</v>
      </c>
      <c r="I30" s="1">
        <v>0.72671673060757203</v>
      </c>
      <c r="J30" s="24" t="s">
        <v>12</v>
      </c>
      <c r="K30" t="s">
        <v>484</v>
      </c>
      <c r="L30" t="s">
        <v>485</v>
      </c>
      <c r="M30" t="s">
        <v>486</v>
      </c>
      <c r="P30">
        <f>S30</f>
        <v>128</v>
      </c>
      <c r="R30" t="s">
        <v>25</v>
      </c>
      <c r="S30">
        <v>128</v>
      </c>
    </row>
    <row r="31" spans="1:20" x14ac:dyDescent="0.25">
      <c r="A31">
        <v>29</v>
      </c>
      <c r="B31" t="s">
        <v>58</v>
      </c>
      <c r="C31">
        <v>95134</v>
      </c>
      <c r="D31" t="str">
        <f>"097-07-065"</f>
        <v>097-07-065</v>
      </c>
      <c r="E31" t="s">
        <v>59</v>
      </c>
      <c r="F31" t="s">
        <v>59</v>
      </c>
      <c r="G31">
        <v>0</v>
      </c>
      <c r="H31">
        <v>0</v>
      </c>
      <c r="I31" s="1">
        <v>4.2867812474419997</v>
      </c>
      <c r="J31" s="24" t="s">
        <v>60</v>
      </c>
      <c r="K31" t="s">
        <v>484</v>
      </c>
      <c r="L31" t="s">
        <v>485</v>
      </c>
      <c r="M31" t="s">
        <v>486</v>
      </c>
      <c r="Q31">
        <f>S31</f>
        <v>322</v>
      </c>
      <c r="R31" t="s">
        <v>34</v>
      </c>
      <c r="S31">
        <v>322</v>
      </c>
      <c r="T31" t="s">
        <v>620</v>
      </c>
    </row>
    <row r="32" spans="1:20" x14ac:dyDescent="0.25">
      <c r="A32">
        <v>30</v>
      </c>
      <c r="B32" t="s">
        <v>61</v>
      </c>
      <c r="C32">
        <v>95126</v>
      </c>
      <c r="D32" t="str">
        <f>"261-32-074"</f>
        <v>261-32-074</v>
      </c>
      <c r="E32" t="s">
        <v>11</v>
      </c>
      <c r="F32" t="s">
        <v>11</v>
      </c>
      <c r="G32">
        <v>55</v>
      </c>
      <c r="H32">
        <v>250</v>
      </c>
      <c r="I32" s="1">
        <v>0.54207208526503703</v>
      </c>
      <c r="J32" s="24" t="s">
        <v>12</v>
      </c>
      <c r="K32" t="s">
        <v>484</v>
      </c>
      <c r="L32" t="s">
        <v>485</v>
      </c>
      <c r="M32" t="s">
        <v>486</v>
      </c>
      <c r="Q32">
        <f>S32</f>
        <v>87</v>
      </c>
      <c r="R32" t="s">
        <v>34</v>
      </c>
      <c r="S32">
        <v>87</v>
      </c>
    </row>
    <row r="33" spans="1:20" ht="30" x14ac:dyDescent="0.25">
      <c r="A33">
        <v>31</v>
      </c>
      <c r="B33" t="s">
        <v>63</v>
      </c>
      <c r="C33">
        <v>95125</v>
      </c>
      <c r="D33" t="str">
        <f>"434-26-032"</f>
        <v>434-26-032</v>
      </c>
      <c r="E33" t="s">
        <v>64</v>
      </c>
      <c r="F33" t="s">
        <v>64</v>
      </c>
      <c r="G33">
        <v>30</v>
      </c>
      <c r="H33">
        <v>95</v>
      </c>
      <c r="I33" s="1">
        <v>2.95687939023512</v>
      </c>
      <c r="J33" s="24" t="s">
        <v>65</v>
      </c>
      <c r="K33" t="s">
        <v>484</v>
      </c>
      <c r="L33" t="s">
        <v>485</v>
      </c>
      <c r="M33" t="s">
        <v>486</v>
      </c>
      <c r="P33">
        <f>S33</f>
        <v>208</v>
      </c>
      <c r="R33" t="s">
        <v>25</v>
      </c>
      <c r="S33">
        <v>208</v>
      </c>
    </row>
    <row r="34" spans="1:20" x14ac:dyDescent="0.25">
      <c r="A34">
        <v>32</v>
      </c>
      <c r="B34" t="s">
        <v>66</v>
      </c>
      <c r="C34">
        <v>95116</v>
      </c>
      <c r="D34" t="str">
        <f>"484-07-080"</f>
        <v>484-07-080</v>
      </c>
      <c r="E34" t="s">
        <v>64</v>
      </c>
      <c r="F34" t="s">
        <v>64</v>
      </c>
      <c r="G34">
        <v>30</v>
      </c>
      <c r="H34">
        <v>95</v>
      </c>
      <c r="I34" s="1">
        <v>0.54421782934565999</v>
      </c>
      <c r="J34" s="24" t="s">
        <v>14</v>
      </c>
      <c r="K34" t="s">
        <v>484</v>
      </c>
      <c r="L34" t="s">
        <v>485</v>
      </c>
      <c r="M34" t="s">
        <v>486</v>
      </c>
      <c r="P34">
        <f>S34</f>
        <v>40</v>
      </c>
      <c r="R34" t="s">
        <v>25</v>
      </c>
      <c r="S34">
        <v>40</v>
      </c>
    </row>
    <row r="35" spans="1:20" x14ac:dyDescent="0.25">
      <c r="A35">
        <v>33</v>
      </c>
      <c r="B35" t="s">
        <v>67</v>
      </c>
      <c r="C35">
        <v>95123</v>
      </c>
      <c r="D35" t="str">
        <f>"695-11-051"</f>
        <v>695-11-051</v>
      </c>
      <c r="E35" t="s">
        <v>28</v>
      </c>
      <c r="F35" t="s">
        <v>68</v>
      </c>
      <c r="G35">
        <v>0</v>
      </c>
      <c r="H35">
        <v>8</v>
      </c>
      <c r="I35" s="1">
        <v>0.91159399047618395</v>
      </c>
      <c r="J35" s="24" t="s">
        <v>17</v>
      </c>
      <c r="K35" t="s">
        <v>484</v>
      </c>
      <c r="L35" t="s">
        <v>485</v>
      </c>
      <c r="M35" t="s">
        <v>486</v>
      </c>
      <c r="P35">
        <f>S35</f>
        <v>6</v>
      </c>
      <c r="R35" t="s">
        <v>25</v>
      </c>
      <c r="S35">
        <v>6</v>
      </c>
    </row>
    <row r="36" spans="1:20" x14ac:dyDescent="0.25">
      <c r="A36">
        <v>34</v>
      </c>
      <c r="B36" t="s">
        <v>69</v>
      </c>
      <c r="C36">
        <v>95118</v>
      </c>
      <c r="D36" t="str">
        <f>"439-48-044"</f>
        <v>439-48-044</v>
      </c>
      <c r="E36" t="s">
        <v>6</v>
      </c>
      <c r="F36" t="s">
        <v>33</v>
      </c>
      <c r="G36">
        <v>0</v>
      </c>
      <c r="H36">
        <v>0</v>
      </c>
      <c r="I36" s="1">
        <v>0.78405564162446295</v>
      </c>
      <c r="J36" s="24" t="s">
        <v>70</v>
      </c>
      <c r="K36" t="s">
        <v>484</v>
      </c>
      <c r="L36" t="s">
        <v>485</v>
      </c>
      <c r="M36" t="s">
        <v>486</v>
      </c>
      <c r="N36" s="2" t="s">
        <v>481</v>
      </c>
      <c r="O36">
        <f>S36</f>
        <v>96</v>
      </c>
      <c r="R36" t="s">
        <v>9</v>
      </c>
      <c r="S36">
        <v>96</v>
      </c>
      <c r="T36" t="s">
        <v>488</v>
      </c>
    </row>
    <row r="37" spans="1:20" ht="30" x14ac:dyDescent="0.25">
      <c r="A37">
        <v>35</v>
      </c>
      <c r="B37" t="s">
        <v>71</v>
      </c>
      <c r="C37">
        <v>95116</v>
      </c>
      <c r="D37" t="str">
        <f>"467-08-001"</f>
        <v>467-08-001</v>
      </c>
      <c r="E37" t="s">
        <v>11</v>
      </c>
      <c r="F37" t="s">
        <v>11</v>
      </c>
      <c r="G37">
        <v>0</v>
      </c>
      <c r="H37">
        <v>250</v>
      </c>
      <c r="I37" s="1">
        <v>0.56608284139318799</v>
      </c>
      <c r="J37" s="24" t="s">
        <v>65</v>
      </c>
      <c r="K37" t="s">
        <v>484</v>
      </c>
      <c r="L37" t="s">
        <v>485</v>
      </c>
      <c r="M37" t="s">
        <v>486</v>
      </c>
      <c r="P37">
        <f>S37</f>
        <v>64</v>
      </c>
      <c r="R37" t="s">
        <v>25</v>
      </c>
      <c r="S37">
        <v>64</v>
      </c>
    </row>
    <row r="38" spans="1:20" x14ac:dyDescent="0.25">
      <c r="A38">
        <v>36</v>
      </c>
      <c r="B38" t="s">
        <v>72</v>
      </c>
      <c r="C38">
        <v>95127</v>
      </c>
      <c r="D38" t="str">
        <f>"484-10-114"</f>
        <v>484-10-114</v>
      </c>
      <c r="E38" t="s">
        <v>6</v>
      </c>
      <c r="F38" t="s">
        <v>33</v>
      </c>
      <c r="G38">
        <v>0</v>
      </c>
      <c r="H38">
        <v>0</v>
      </c>
      <c r="I38" s="1">
        <v>0.59007983883675297</v>
      </c>
      <c r="J38" s="24" t="s">
        <v>12</v>
      </c>
      <c r="K38" t="s">
        <v>484</v>
      </c>
      <c r="L38" t="s">
        <v>485</v>
      </c>
      <c r="M38" t="s">
        <v>486</v>
      </c>
      <c r="N38" s="2" t="s">
        <v>481</v>
      </c>
      <c r="O38">
        <f>S38</f>
        <v>51</v>
      </c>
      <c r="R38" t="s">
        <v>9</v>
      </c>
      <c r="S38">
        <v>51</v>
      </c>
      <c r="T38" t="s">
        <v>488</v>
      </c>
    </row>
    <row r="39" spans="1:20" x14ac:dyDescent="0.25">
      <c r="A39">
        <v>37</v>
      </c>
      <c r="B39" t="s">
        <v>73</v>
      </c>
      <c r="C39">
        <v>95116</v>
      </c>
      <c r="D39" t="str">
        <f>"481-44-107"</f>
        <v>481-44-107</v>
      </c>
      <c r="E39" t="s">
        <v>6</v>
      </c>
      <c r="F39" t="s">
        <v>33</v>
      </c>
      <c r="G39">
        <v>0</v>
      </c>
      <c r="H39">
        <v>0</v>
      </c>
      <c r="I39" s="1">
        <v>0.68645569473041201</v>
      </c>
      <c r="J39" s="24" t="s">
        <v>12</v>
      </c>
      <c r="K39" t="s">
        <v>484</v>
      </c>
      <c r="L39" t="s">
        <v>485</v>
      </c>
      <c r="M39" t="s">
        <v>486</v>
      </c>
      <c r="N39" s="2" t="s">
        <v>481</v>
      </c>
      <c r="O39">
        <f>S39</f>
        <v>52</v>
      </c>
      <c r="R39" t="s">
        <v>9</v>
      </c>
      <c r="S39">
        <v>52</v>
      </c>
      <c r="T39" s="3" t="s">
        <v>487</v>
      </c>
    </row>
    <row r="40" spans="1:20" x14ac:dyDescent="0.25">
      <c r="A40">
        <v>38</v>
      </c>
      <c r="B40" t="s">
        <v>74</v>
      </c>
      <c r="C40">
        <v>95008</v>
      </c>
      <c r="D40" t="str">
        <f>"412-19-027"</f>
        <v>412-19-027</v>
      </c>
      <c r="E40" t="s">
        <v>6</v>
      </c>
      <c r="F40" t="s">
        <v>33</v>
      </c>
      <c r="G40">
        <v>0</v>
      </c>
      <c r="H40">
        <v>0</v>
      </c>
      <c r="I40" s="1">
        <v>0.55338185548194396</v>
      </c>
      <c r="J40" s="24" t="s">
        <v>14</v>
      </c>
      <c r="K40" t="s">
        <v>484</v>
      </c>
      <c r="L40" t="s">
        <v>485</v>
      </c>
      <c r="M40" t="s">
        <v>486</v>
      </c>
      <c r="N40" s="2" t="s">
        <v>481</v>
      </c>
      <c r="O40">
        <f>S40</f>
        <v>58</v>
      </c>
      <c r="R40" t="s">
        <v>9</v>
      </c>
      <c r="S40">
        <v>58</v>
      </c>
      <c r="T40" t="s">
        <v>488</v>
      </c>
    </row>
    <row r="41" spans="1:20" x14ac:dyDescent="0.25">
      <c r="A41">
        <v>39</v>
      </c>
      <c r="B41" t="s">
        <v>75</v>
      </c>
      <c r="C41">
        <v>95127</v>
      </c>
      <c r="D41" t="str">
        <f>"484-31-010"</f>
        <v>484-31-010</v>
      </c>
      <c r="E41" t="s">
        <v>6</v>
      </c>
      <c r="F41" t="s">
        <v>33</v>
      </c>
      <c r="G41">
        <v>0</v>
      </c>
      <c r="H41">
        <v>0</v>
      </c>
      <c r="I41" s="1">
        <v>0.58822686093947496</v>
      </c>
      <c r="J41" s="24" t="s">
        <v>12</v>
      </c>
      <c r="K41" t="s">
        <v>484</v>
      </c>
      <c r="L41" t="s">
        <v>485</v>
      </c>
      <c r="M41" t="s">
        <v>486</v>
      </c>
      <c r="N41" s="2" t="s">
        <v>481</v>
      </c>
      <c r="O41">
        <f>S41</f>
        <v>52</v>
      </c>
      <c r="R41" t="s">
        <v>9</v>
      </c>
      <c r="S41">
        <v>52</v>
      </c>
      <c r="T41" s="3" t="s">
        <v>487</v>
      </c>
    </row>
    <row r="42" spans="1:20" x14ac:dyDescent="0.25">
      <c r="A42">
        <v>40</v>
      </c>
      <c r="B42" t="s">
        <v>76</v>
      </c>
      <c r="C42">
        <v>95127</v>
      </c>
      <c r="D42" t="str">
        <f>"484-26-081"</f>
        <v>484-26-081</v>
      </c>
      <c r="E42" t="s">
        <v>6</v>
      </c>
      <c r="F42" t="s">
        <v>33</v>
      </c>
      <c r="G42">
        <v>0</v>
      </c>
      <c r="H42">
        <v>0</v>
      </c>
      <c r="I42" s="1">
        <v>1.2589403586327199</v>
      </c>
      <c r="J42" s="24" t="s">
        <v>43</v>
      </c>
      <c r="K42" t="s">
        <v>484</v>
      </c>
      <c r="L42" t="s">
        <v>485</v>
      </c>
      <c r="M42" t="s">
        <v>486</v>
      </c>
      <c r="N42" s="2" t="s">
        <v>481</v>
      </c>
      <c r="O42">
        <f>S42</f>
        <v>106</v>
      </c>
      <c r="R42" t="s">
        <v>9</v>
      </c>
      <c r="S42">
        <v>106</v>
      </c>
      <c r="T42" s="3" t="s">
        <v>487</v>
      </c>
    </row>
    <row r="43" spans="1:20" x14ac:dyDescent="0.25">
      <c r="A43">
        <v>41</v>
      </c>
      <c r="B43" t="s">
        <v>77</v>
      </c>
      <c r="C43">
        <v>95122</v>
      </c>
      <c r="D43" t="str">
        <f>"491-28-127"</f>
        <v>491-28-127</v>
      </c>
      <c r="E43" t="s">
        <v>6</v>
      </c>
      <c r="F43" t="s">
        <v>33</v>
      </c>
      <c r="G43">
        <v>0</v>
      </c>
      <c r="H43">
        <v>0</v>
      </c>
      <c r="I43" s="1">
        <v>0.63025886547923404</v>
      </c>
      <c r="J43" s="24" t="s">
        <v>12</v>
      </c>
      <c r="K43" t="s">
        <v>484</v>
      </c>
      <c r="L43" t="s">
        <v>485</v>
      </c>
      <c r="M43" t="s">
        <v>486</v>
      </c>
      <c r="N43" s="2" t="s">
        <v>481</v>
      </c>
      <c r="O43">
        <f>S43</f>
        <v>56</v>
      </c>
      <c r="R43" t="s">
        <v>9</v>
      </c>
      <c r="S43">
        <v>56</v>
      </c>
      <c r="T43" s="3" t="s">
        <v>487</v>
      </c>
    </row>
    <row r="44" spans="1:20" x14ac:dyDescent="0.25">
      <c r="A44">
        <v>42</v>
      </c>
      <c r="B44" t="s">
        <v>78</v>
      </c>
      <c r="C44">
        <v>95148</v>
      </c>
      <c r="D44" t="str">
        <f>"647-24-042"</f>
        <v>647-24-042</v>
      </c>
      <c r="E44" t="s">
        <v>28</v>
      </c>
      <c r="F44" t="s">
        <v>68</v>
      </c>
      <c r="G44">
        <v>0</v>
      </c>
      <c r="H44">
        <v>8</v>
      </c>
      <c r="I44" s="1">
        <v>0.48078132680329599</v>
      </c>
      <c r="J44" s="24" t="s">
        <v>79</v>
      </c>
      <c r="K44" t="s">
        <v>484</v>
      </c>
      <c r="L44" t="s">
        <v>489</v>
      </c>
      <c r="M44" t="s">
        <v>486</v>
      </c>
      <c r="P44">
        <f>S44</f>
        <v>4</v>
      </c>
      <c r="R44" t="s">
        <v>25</v>
      </c>
      <c r="S44">
        <v>4</v>
      </c>
    </row>
    <row r="45" spans="1:20" x14ac:dyDescent="0.25">
      <c r="A45">
        <v>43</v>
      </c>
      <c r="B45" t="s">
        <v>80</v>
      </c>
      <c r="C45">
        <v>95132</v>
      </c>
      <c r="D45" t="str">
        <f>"587-10-005"</f>
        <v>587-10-005</v>
      </c>
      <c r="E45" t="s">
        <v>6</v>
      </c>
      <c r="F45" t="s">
        <v>33</v>
      </c>
      <c r="G45">
        <v>0</v>
      </c>
      <c r="H45">
        <v>0</v>
      </c>
      <c r="I45" s="1">
        <v>0.91288912267309197</v>
      </c>
      <c r="J45" s="24" t="s">
        <v>12</v>
      </c>
      <c r="K45" t="s">
        <v>484</v>
      </c>
      <c r="L45" t="s">
        <v>485</v>
      </c>
      <c r="M45" t="s">
        <v>486</v>
      </c>
      <c r="N45" s="2" t="s">
        <v>481</v>
      </c>
      <c r="O45">
        <f>S45</f>
        <v>79</v>
      </c>
      <c r="R45" t="s">
        <v>9</v>
      </c>
      <c r="S45">
        <v>79</v>
      </c>
      <c r="T45" t="s">
        <v>488</v>
      </c>
    </row>
    <row r="46" spans="1:20" x14ac:dyDescent="0.25">
      <c r="A46">
        <v>44</v>
      </c>
      <c r="B46" t="s">
        <v>81</v>
      </c>
      <c r="C46">
        <v>95135</v>
      </c>
      <c r="D46" t="str">
        <f>"659-05-038"</f>
        <v>659-05-038</v>
      </c>
      <c r="E46" t="s">
        <v>6</v>
      </c>
      <c r="F46" t="s">
        <v>33</v>
      </c>
      <c r="G46">
        <v>0</v>
      </c>
      <c r="H46">
        <v>0</v>
      </c>
      <c r="I46" s="1">
        <v>1.3834144675781299</v>
      </c>
      <c r="J46" s="24" t="s">
        <v>70</v>
      </c>
      <c r="K46" t="s">
        <v>484</v>
      </c>
      <c r="L46" t="s">
        <v>485</v>
      </c>
      <c r="M46" t="s">
        <v>486</v>
      </c>
      <c r="N46" s="2" t="s">
        <v>481</v>
      </c>
      <c r="O46">
        <f>S46</f>
        <v>146</v>
      </c>
      <c r="R46" t="s">
        <v>9</v>
      </c>
      <c r="S46">
        <v>146</v>
      </c>
      <c r="T46" t="s">
        <v>488</v>
      </c>
    </row>
    <row r="47" spans="1:20" x14ac:dyDescent="0.25">
      <c r="A47">
        <v>45</v>
      </c>
      <c r="B47" t="s">
        <v>83</v>
      </c>
      <c r="C47">
        <v>95148</v>
      </c>
      <c r="D47" t="str">
        <f>"673-14-019"</f>
        <v>673-14-019</v>
      </c>
      <c r="E47" t="s">
        <v>6</v>
      </c>
      <c r="F47" t="s">
        <v>84</v>
      </c>
      <c r="G47">
        <v>0</v>
      </c>
      <c r="H47">
        <v>0</v>
      </c>
      <c r="I47" s="1">
        <v>1.3906374309568199</v>
      </c>
      <c r="J47" s="24" t="s">
        <v>14</v>
      </c>
      <c r="K47" t="s">
        <v>484</v>
      </c>
      <c r="L47" t="s">
        <v>485</v>
      </c>
      <c r="M47" t="s">
        <v>486</v>
      </c>
      <c r="N47" s="2" t="s">
        <v>481</v>
      </c>
      <c r="O47">
        <f>S47</f>
        <v>126</v>
      </c>
      <c r="R47" t="s">
        <v>9</v>
      </c>
      <c r="S47">
        <v>126</v>
      </c>
      <c r="T47" t="s">
        <v>488</v>
      </c>
    </row>
    <row r="48" spans="1:20" x14ac:dyDescent="0.25">
      <c r="A48">
        <v>46</v>
      </c>
      <c r="B48" t="s">
        <v>85</v>
      </c>
      <c r="C48">
        <v>95121</v>
      </c>
      <c r="D48" t="str">
        <f>"676-16-020"</f>
        <v>676-16-020</v>
      </c>
      <c r="E48" t="s">
        <v>28</v>
      </c>
      <c r="F48" t="s">
        <v>68</v>
      </c>
      <c r="G48">
        <v>0</v>
      </c>
      <c r="H48">
        <v>8</v>
      </c>
      <c r="I48" s="1">
        <v>1.13057018689838</v>
      </c>
      <c r="J48" s="24" t="s">
        <v>17</v>
      </c>
      <c r="K48" t="s">
        <v>484</v>
      </c>
      <c r="L48" t="s">
        <v>485</v>
      </c>
      <c r="M48" t="s">
        <v>486</v>
      </c>
      <c r="P48">
        <f>S48</f>
        <v>7</v>
      </c>
      <c r="R48" t="s">
        <v>25</v>
      </c>
      <c r="S48">
        <v>7</v>
      </c>
    </row>
    <row r="49" spans="1:20" x14ac:dyDescent="0.25">
      <c r="A49">
        <v>47</v>
      </c>
      <c r="B49" t="s">
        <v>86</v>
      </c>
      <c r="C49">
        <v>95008</v>
      </c>
      <c r="D49" t="str">
        <f>"412-20-004"</f>
        <v>412-20-004</v>
      </c>
      <c r="E49" t="s">
        <v>6</v>
      </c>
      <c r="F49" t="s">
        <v>33</v>
      </c>
      <c r="G49">
        <v>0</v>
      </c>
      <c r="H49">
        <v>0</v>
      </c>
      <c r="I49" s="1">
        <v>0.62075288522497296</v>
      </c>
      <c r="J49" s="24" t="s">
        <v>12</v>
      </c>
      <c r="K49" t="s">
        <v>484</v>
      </c>
      <c r="L49" t="s">
        <v>485</v>
      </c>
      <c r="M49" t="s">
        <v>486</v>
      </c>
      <c r="N49" s="2" t="s">
        <v>481</v>
      </c>
      <c r="O49">
        <f>S49</f>
        <v>64</v>
      </c>
      <c r="R49" t="s">
        <v>9</v>
      </c>
      <c r="S49">
        <v>64</v>
      </c>
      <c r="T49" t="s">
        <v>488</v>
      </c>
    </row>
    <row r="50" spans="1:20" x14ac:dyDescent="0.25">
      <c r="A50">
        <v>48</v>
      </c>
      <c r="B50" t="s">
        <v>87</v>
      </c>
      <c r="C50">
        <v>95008</v>
      </c>
      <c r="D50" t="str">
        <f>"412-25-008"</f>
        <v>412-25-008</v>
      </c>
      <c r="E50" t="s">
        <v>6</v>
      </c>
      <c r="F50" t="s">
        <v>33</v>
      </c>
      <c r="G50">
        <v>0</v>
      </c>
      <c r="H50">
        <v>0</v>
      </c>
      <c r="I50" s="1">
        <v>0.65851980388206599</v>
      </c>
      <c r="J50" s="24" t="s">
        <v>12</v>
      </c>
      <c r="K50" t="s">
        <v>484</v>
      </c>
      <c r="L50" t="s">
        <v>485</v>
      </c>
      <c r="M50" t="s">
        <v>486</v>
      </c>
      <c r="N50" s="2" t="s">
        <v>481</v>
      </c>
      <c r="O50">
        <f>S50</f>
        <v>69</v>
      </c>
      <c r="R50" t="s">
        <v>9</v>
      </c>
      <c r="S50">
        <v>69</v>
      </c>
      <c r="T50" t="s">
        <v>488</v>
      </c>
    </row>
    <row r="51" spans="1:20" x14ac:dyDescent="0.25">
      <c r="A51">
        <v>49</v>
      </c>
      <c r="B51" t="s">
        <v>88</v>
      </c>
      <c r="C51">
        <v>95008</v>
      </c>
      <c r="D51" t="str">
        <f>"412-25-011"</f>
        <v>412-25-011</v>
      </c>
      <c r="E51" t="s">
        <v>6</v>
      </c>
      <c r="F51" t="s">
        <v>33</v>
      </c>
      <c r="G51">
        <v>0</v>
      </c>
      <c r="H51">
        <v>0</v>
      </c>
      <c r="I51" s="1">
        <v>0.75014823301705602</v>
      </c>
      <c r="J51" s="24" t="s">
        <v>12</v>
      </c>
      <c r="K51" t="s">
        <v>484</v>
      </c>
      <c r="L51" t="s">
        <v>485</v>
      </c>
      <c r="M51" t="s">
        <v>486</v>
      </c>
      <c r="N51" s="2" t="s">
        <v>481</v>
      </c>
      <c r="O51">
        <f>S51</f>
        <v>69</v>
      </c>
      <c r="R51" t="s">
        <v>9</v>
      </c>
      <c r="S51">
        <v>69</v>
      </c>
      <c r="T51" t="s">
        <v>488</v>
      </c>
    </row>
    <row r="52" spans="1:20" x14ac:dyDescent="0.25">
      <c r="A52">
        <v>50</v>
      </c>
      <c r="B52" t="s">
        <v>89</v>
      </c>
      <c r="C52">
        <v>95008</v>
      </c>
      <c r="D52" t="str">
        <f>"412-26-001"</f>
        <v>412-26-001</v>
      </c>
      <c r="E52" t="s">
        <v>6</v>
      </c>
      <c r="F52" t="s">
        <v>33</v>
      </c>
      <c r="G52">
        <v>0</v>
      </c>
      <c r="H52">
        <v>0</v>
      </c>
      <c r="I52" s="1">
        <v>0.524106985226786</v>
      </c>
      <c r="J52" s="24" t="s">
        <v>14</v>
      </c>
      <c r="K52" t="s">
        <v>484</v>
      </c>
      <c r="L52" t="s">
        <v>485</v>
      </c>
      <c r="M52" t="s">
        <v>486</v>
      </c>
      <c r="N52" s="2" t="s">
        <v>481</v>
      </c>
      <c r="O52">
        <f>S52</f>
        <v>48</v>
      </c>
      <c r="R52" t="s">
        <v>9</v>
      </c>
      <c r="S52">
        <v>48</v>
      </c>
      <c r="T52" t="s">
        <v>488</v>
      </c>
    </row>
    <row r="53" spans="1:20" x14ac:dyDescent="0.25">
      <c r="A53">
        <v>51</v>
      </c>
      <c r="B53" t="s">
        <v>90</v>
      </c>
      <c r="C53">
        <v>95008</v>
      </c>
      <c r="D53" t="str">
        <f>"414-03-014"</f>
        <v>414-03-014</v>
      </c>
      <c r="E53" t="s">
        <v>6</v>
      </c>
      <c r="F53" t="s">
        <v>33</v>
      </c>
      <c r="G53">
        <v>0</v>
      </c>
      <c r="H53">
        <v>0</v>
      </c>
      <c r="I53" s="1">
        <v>0.73351218816596997</v>
      </c>
      <c r="J53" s="24" t="s">
        <v>43</v>
      </c>
      <c r="K53" t="s">
        <v>484</v>
      </c>
      <c r="L53" t="s">
        <v>485</v>
      </c>
      <c r="M53" t="s">
        <v>486</v>
      </c>
      <c r="N53" s="2" t="s">
        <v>481</v>
      </c>
      <c r="O53">
        <f>S53</f>
        <v>74</v>
      </c>
      <c r="R53" t="s">
        <v>9</v>
      </c>
      <c r="S53">
        <v>74</v>
      </c>
      <c r="T53" t="s">
        <v>488</v>
      </c>
    </row>
    <row r="54" spans="1:20" x14ac:dyDescent="0.25">
      <c r="A54">
        <v>52</v>
      </c>
      <c r="B54" t="s">
        <v>91</v>
      </c>
      <c r="C54">
        <v>95008</v>
      </c>
      <c r="D54" t="str">
        <f>"414-03-015"</f>
        <v>414-03-015</v>
      </c>
      <c r="E54" t="s">
        <v>6</v>
      </c>
      <c r="F54" t="s">
        <v>33</v>
      </c>
      <c r="G54">
        <v>0</v>
      </c>
      <c r="H54">
        <v>0</v>
      </c>
      <c r="I54" s="1">
        <v>0.69105330887680905</v>
      </c>
      <c r="J54" s="24" t="s">
        <v>8</v>
      </c>
      <c r="K54" t="s">
        <v>484</v>
      </c>
      <c r="L54" t="s">
        <v>485</v>
      </c>
      <c r="M54" t="s">
        <v>486</v>
      </c>
      <c r="N54" s="2" t="s">
        <v>481</v>
      </c>
      <c r="O54">
        <f>S54</f>
        <v>68</v>
      </c>
      <c r="R54" t="s">
        <v>9</v>
      </c>
      <c r="S54">
        <v>68</v>
      </c>
      <c r="T54" t="s">
        <v>488</v>
      </c>
    </row>
    <row r="55" spans="1:20" x14ac:dyDescent="0.25">
      <c r="A55">
        <v>53</v>
      </c>
      <c r="B55" t="s">
        <v>92</v>
      </c>
      <c r="C55">
        <v>95008</v>
      </c>
      <c r="D55" t="str">
        <f>"414-05-001"</f>
        <v>414-05-001</v>
      </c>
      <c r="E55" t="s">
        <v>6</v>
      </c>
      <c r="F55" t="s">
        <v>33</v>
      </c>
      <c r="G55">
        <v>0</v>
      </c>
      <c r="H55">
        <v>0</v>
      </c>
      <c r="I55" s="1">
        <v>0.55317204549952703</v>
      </c>
      <c r="J55" s="24" t="s">
        <v>12</v>
      </c>
      <c r="K55" t="s">
        <v>484</v>
      </c>
      <c r="L55" t="s">
        <v>485</v>
      </c>
      <c r="M55" t="s">
        <v>486</v>
      </c>
      <c r="N55" s="2" t="s">
        <v>481</v>
      </c>
      <c r="O55">
        <f>S55</f>
        <v>51</v>
      </c>
      <c r="R55" t="s">
        <v>9</v>
      </c>
      <c r="S55">
        <v>51</v>
      </c>
      <c r="T55" t="s">
        <v>488</v>
      </c>
    </row>
    <row r="56" spans="1:20" x14ac:dyDescent="0.25">
      <c r="A56">
        <v>54</v>
      </c>
      <c r="B56" t="s">
        <v>93</v>
      </c>
      <c r="C56">
        <v>95124</v>
      </c>
      <c r="D56" t="str">
        <f>"414-10-001"</f>
        <v>414-10-001</v>
      </c>
      <c r="E56" t="s">
        <v>6</v>
      </c>
      <c r="F56" t="s">
        <v>33</v>
      </c>
      <c r="G56">
        <v>0</v>
      </c>
      <c r="H56">
        <v>0</v>
      </c>
      <c r="I56" s="1">
        <v>0.508866137228426</v>
      </c>
      <c r="J56" s="24" t="s">
        <v>12</v>
      </c>
      <c r="K56" t="s">
        <v>484</v>
      </c>
      <c r="L56" t="s">
        <v>485</v>
      </c>
      <c r="M56" t="s">
        <v>486</v>
      </c>
      <c r="N56" s="2" t="s">
        <v>481</v>
      </c>
      <c r="O56">
        <f>S56</f>
        <v>52</v>
      </c>
      <c r="R56" t="s">
        <v>9</v>
      </c>
      <c r="S56">
        <v>52</v>
      </c>
      <c r="T56" t="s">
        <v>488</v>
      </c>
    </row>
    <row r="57" spans="1:20" x14ac:dyDescent="0.25">
      <c r="A57">
        <v>55</v>
      </c>
      <c r="B57" t="s">
        <v>94</v>
      </c>
      <c r="C57">
        <v>95124</v>
      </c>
      <c r="D57" t="str">
        <f>"414-24-037"</f>
        <v>414-24-037</v>
      </c>
      <c r="E57" t="s">
        <v>6</v>
      </c>
      <c r="F57" t="s">
        <v>30</v>
      </c>
      <c r="G57">
        <v>0</v>
      </c>
      <c r="H57">
        <v>0</v>
      </c>
      <c r="I57" s="1">
        <v>0.19669105441118501</v>
      </c>
      <c r="J57" s="24" t="s">
        <v>12</v>
      </c>
      <c r="K57" t="s">
        <v>484</v>
      </c>
      <c r="L57" t="s">
        <v>485</v>
      </c>
      <c r="M57" t="s">
        <v>486</v>
      </c>
      <c r="N57" s="2" t="s">
        <v>481</v>
      </c>
      <c r="O57">
        <f>S57</f>
        <v>20</v>
      </c>
      <c r="R57" t="s">
        <v>9</v>
      </c>
      <c r="S57">
        <v>20</v>
      </c>
      <c r="T57" t="s">
        <v>488</v>
      </c>
    </row>
    <row r="58" spans="1:20" x14ac:dyDescent="0.25">
      <c r="A58">
        <v>56</v>
      </c>
      <c r="B58" t="s">
        <v>95</v>
      </c>
      <c r="C58">
        <v>95124</v>
      </c>
      <c r="D58" t="str">
        <f>"414-24-038"</f>
        <v>414-24-038</v>
      </c>
      <c r="E58" t="s">
        <v>6</v>
      </c>
      <c r="F58" t="s">
        <v>30</v>
      </c>
      <c r="G58">
        <v>0</v>
      </c>
      <c r="H58">
        <v>0</v>
      </c>
      <c r="I58" s="1">
        <v>0.498000029966156</v>
      </c>
      <c r="J58" s="24" t="s">
        <v>12</v>
      </c>
      <c r="K58" t="s">
        <v>484</v>
      </c>
      <c r="L58" t="s">
        <v>485</v>
      </c>
      <c r="M58" t="s">
        <v>486</v>
      </c>
      <c r="N58" s="2" t="s">
        <v>481</v>
      </c>
      <c r="O58">
        <f>S58</f>
        <v>50</v>
      </c>
      <c r="R58" t="s">
        <v>9</v>
      </c>
      <c r="S58">
        <v>50</v>
      </c>
      <c r="T58" t="s">
        <v>488</v>
      </c>
    </row>
    <row r="59" spans="1:20" x14ac:dyDescent="0.25">
      <c r="A59">
        <v>57</v>
      </c>
      <c r="B59" t="s">
        <v>96</v>
      </c>
      <c r="C59">
        <v>95124</v>
      </c>
      <c r="D59" t="str">
        <f>"414-26-009"</f>
        <v>414-26-009</v>
      </c>
      <c r="E59" t="s">
        <v>6</v>
      </c>
      <c r="F59" t="s">
        <v>33</v>
      </c>
      <c r="G59">
        <v>0</v>
      </c>
      <c r="H59">
        <v>0</v>
      </c>
      <c r="I59" s="1">
        <v>0.76408139967467303</v>
      </c>
      <c r="J59" s="24" t="s">
        <v>43</v>
      </c>
      <c r="K59" t="s">
        <v>484</v>
      </c>
      <c r="L59" t="s">
        <v>485</v>
      </c>
      <c r="M59" t="s">
        <v>486</v>
      </c>
      <c r="N59" s="2" t="s">
        <v>481</v>
      </c>
      <c r="O59">
        <f>S59</f>
        <v>64</v>
      </c>
      <c r="R59" t="s">
        <v>9</v>
      </c>
      <c r="S59">
        <v>64</v>
      </c>
      <c r="T59" t="s">
        <v>488</v>
      </c>
    </row>
    <row r="60" spans="1:20" x14ac:dyDescent="0.25">
      <c r="A60">
        <v>58</v>
      </c>
      <c r="B60" t="s">
        <v>97</v>
      </c>
      <c r="C60">
        <v>95124</v>
      </c>
      <c r="D60" t="str">
        <f>"414-26-019"</f>
        <v>414-26-019</v>
      </c>
      <c r="E60" t="s">
        <v>6</v>
      </c>
      <c r="F60" t="s">
        <v>33</v>
      </c>
      <c r="G60">
        <v>0</v>
      </c>
      <c r="H60">
        <v>0</v>
      </c>
      <c r="I60" s="1">
        <v>0.76672535585902102</v>
      </c>
      <c r="J60" s="24" t="s">
        <v>12</v>
      </c>
      <c r="K60" t="s">
        <v>484</v>
      </c>
      <c r="L60" t="s">
        <v>485</v>
      </c>
      <c r="M60" t="s">
        <v>486</v>
      </c>
      <c r="N60" s="2" t="s">
        <v>481</v>
      </c>
      <c r="O60">
        <f>S60</f>
        <v>67</v>
      </c>
      <c r="R60" t="s">
        <v>9</v>
      </c>
      <c r="S60">
        <v>67</v>
      </c>
      <c r="T60" t="s">
        <v>488</v>
      </c>
    </row>
    <row r="61" spans="1:20" x14ac:dyDescent="0.25">
      <c r="A61">
        <v>59</v>
      </c>
      <c r="B61" t="s">
        <v>98</v>
      </c>
      <c r="C61">
        <v>95124</v>
      </c>
      <c r="D61" t="str">
        <f>"414-26-017"</f>
        <v>414-26-017</v>
      </c>
      <c r="E61" t="s">
        <v>6</v>
      </c>
      <c r="F61" t="s">
        <v>33</v>
      </c>
      <c r="G61">
        <v>0</v>
      </c>
      <c r="H61">
        <v>0</v>
      </c>
      <c r="I61" s="1">
        <v>0.62764092645145697</v>
      </c>
      <c r="J61" s="24" t="s">
        <v>12</v>
      </c>
      <c r="K61" t="s">
        <v>484</v>
      </c>
      <c r="L61" t="s">
        <v>485</v>
      </c>
      <c r="M61" t="s">
        <v>486</v>
      </c>
      <c r="N61" s="2" t="s">
        <v>481</v>
      </c>
      <c r="O61">
        <f>S61</f>
        <v>48</v>
      </c>
      <c r="R61" t="s">
        <v>9</v>
      </c>
      <c r="S61">
        <v>48</v>
      </c>
      <c r="T61" t="s">
        <v>488</v>
      </c>
    </row>
    <row r="62" spans="1:20" x14ac:dyDescent="0.25">
      <c r="A62">
        <v>60</v>
      </c>
      <c r="B62" t="s">
        <v>99</v>
      </c>
      <c r="C62">
        <v>95132</v>
      </c>
      <c r="D62" t="str">
        <f>"589-22-066"</f>
        <v>589-22-066</v>
      </c>
      <c r="E62" t="s">
        <v>6</v>
      </c>
      <c r="F62" t="s">
        <v>33</v>
      </c>
      <c r="G62">
        <v>0</v>
      </c>
      <c r="H62">
        <v>0</v>
      </c>
      <c r="I62" s="1">
        <v>0.53149603998866102</v>
      </c>
      <c r="J62" s="24" t="s">
        <v>14</v>
      </c>
      <c r="K62" t="s">
        <v>484</v>
      </c>
      <c r="L62" t="s">
        <v>485</v>
      </c>
      <c r="M62" t="s">
        <v>486</v>
      </c>
      <c r="N62" s="2" t="s">
        <v>481</v>
      </c>
      <c r="O62">
        <f>S62</f>
        <v>49</v>
      </c>
      <c r="R62" t="s">
        <v>9</v>
      </c>
      <c r="S62">
        <v>49</v>
      </c>
      <c r="T62" t="s">
        <v>488</v>
      </c>
    </row>
    <row r="63" spans="1:20" x14ac:dyDescent="0.25">
      <c r="A63">
        <v>61</v>
      </c>
      <c r="B63" t="s">
        <v>100</v>
      </c>
      <c r="C63">
        <v>95124</v>
      </c>
      <c r="D63" t="str">
        <f>"414-32-010"</f>
        <v>414-32-010</v>
      </c>
      <c r="E63" t="s">
        <v>6</v>
      </c>
      <c r="F63" t="s">
        <v>33</v>
      </c>
      <c r="G63">
        <v>0</v>
      </c>
      <c r="H63">
        <v>0</v>
      </c>
      <c r="I63" s="1">
        <v>1.51955356475175</v>
      </c>
      <c r="J63" s="24" t="s">
        <v>14</v>
      </c>
      <c r="K63" t="s">
        <v>484</v>
      </c>
      <c r="L63" t="s">
        <v>485</v>
      </c>
      <c r="M63" t="s">
        <v>486</v>
      </c>
      <c r="N63" s="2" t="s">
        <v>481</v>
      </c>
      <c r="O63">
        <f>S63</f>
        <v>141</v>
      </c>
      <c r="R63" t="s">
        <v>9</v>
      </c>
      <c r="S63">
        <v>141</v>
      </c>
      <c r="T63" t="s">
        <v>488</v>
      </c>
    </row>
    <row r="64" spans="1:20" ht="30" x14ac:dyDescent="0.25">
      <c r="A64">
        <v>62</v>
      </c>
      <c r="B64" t="s">
        <v>101</v>
      </c>
      <c r="C64">
        <v>95134</v>
      </c>
      <c r="D64" t="str">
        <f>"097-33-033"</f>
        <v>097-33-033</v>
      </c>
      <c r="E64" t="s">
        <v>59</v>
      </c>
      <c r="F64" t="s">
        <v>59</v>
      </c>
      <c r="G64">
        <v>0</v>
      </c>
      <c r="H64">
        <v>0</v>
      </c>
      <c r="I64" s="1">
        <v>5.3370822015871102</v>
      </c>
      <c r="J64" s="24" t="s">
        <v>65</v>
      </c>
      <c r="K64" t="s">
        <v>484</v>
      </c>
      <c r="L64" t="s">
        <v>485</v>
      </c>
      <c r="M64" t="s">
        <v>486</v>
      </c>
      <c r="Q64">
        <f>S64</f>
        <v>400</v>
      </c>
      <c r="R64" t="s">
        <v>34</v>
      </c>
      <c r="S64">
        <v>400</v>
      </c>
      <c r="T64" t="s">
        <v>620</v>
      </c>
    </row>
    <row r="65" spans="1:20" ht="30" x14ac:dyDescent="0.25">
      <c r="A65">
        <v>63</v>
      </c>
      <c r="B65" t="s">
        <v>102</v>
      </c>
      <c r="C65">
        <v>95134</v>
      </c>
      <c r="D65" t="str">
        <f>"097-33-034"</f>
        <v>097-33-034</v>
      </c>
      <c r="E65" t="s">
        <v>59</v>
      </c>
      <c r="F65" t="s">
        <v>59</v>
      </c>
      <c r="G65">
        <v>0</v>
      </c>
      <c r="H65">
        <v>0</v>
      </c>
      <c r="I65" s="1">
        <v>4.3907985391673101</v>
      </c>
      <c r="J65" s="24" t="s">
        <v>65</v>
      </c>
      <c r="K65" t="s">
        <v>484</v>
      </c>
      <c r="L65" t="s">
        <v>485</v>
      </c>
      <c r="M65" t="s">
        <v>486</v>
      </c>
      <c r="Q65">
        <f>S65</f>
        <v>329</v>
      </c>
      <c r="R65" t="s">
        <v>34</v>
      </c>
      <c r="S65">
        <v>329</v>
      </c>
      <c r="T65" t="s">
        <v>620</v>
      </c>
    </row>
    <row r="66" spans="1:20" x14ac:dyDescent="0.25">
      <c r="A66">
        <v>64</v>
      </c>
      <c r="B66" t="s">
        <v>103</v>
      </c>
      <c r="C66">
        <v>95134</v>
      </c>
      <c r="D66" t="str">
        <f>"097-33-111"</f>
        <v>097-33-111</v>
      </c>
      <c r="E66" t="s">
        <v>59</v>
      </c>
      <c r="F66" t="s">
        <v>59</v>
      </c>
      <c r="G66">
        <v>0</v>
      </c>
      <c r="H66">
        <v>0</v>
      </c>
      <c r="I66" s="1">
        <v>11.683511393173401</v>
      </c>
      <c r="J66" s="24" t="s">
        <v>60</v>
      </c>
      <c r="K66" t="s">
        <v>484</v>
      </c>
      <c r="L66" t="s">
        <v>485</v>
      </c>
      <c r="M66" t="s">
        <v>486</v>
      </c>
      <c r="Q66">
        <f>S66</f>
        <v>876</v>
      </c>
      <c r="R66" t="s">
        <v>34</v>
      </c>
      <c r="S66">
        <v>876</v>
      </c>
      <c r="T66" t="s">
        <v>620</v>
      </c>
    </row>
    <row r="67" spans="1:20" x14ac:dyDescent="0.25">
      <c r="A67">
        <v>65</v>
      </c>
      <c r="B67" t="s">
        <v>104</v>
      </c>
      <c r="C67">
        <v>95132</v>
      </c>
      <c r="D67" t="str">
        <f>"591-01-039"</f>
        <v>591-01-039</v>
      </c>
      <c r="E67" t="s">
        <v>6</v>
      </c>
      <c r="F67" t="s">
        <v>33</v>
      </c>
      <c r="G67">
        <v>0</v>
      </c>
      <c r="H67">
        <v>0</v>
      </c>
      <c r="I67" s="1">
        <v>1.2230267299428099</v>
      </c>
      <c r="J67" s="24" t="s">
        <v>14</v>
      </c>
      <c r="K67" t="s">
        <v>484</v>
      </c>
      <c r="L67" t="s">
        <v>485</v>
      </c>
      <c r="M67" t="s">
        <v>486</v>
      </c>
      <c r="N67" s="2" t="s">
        <v>481</v>
      </c>
      <c r="O67">
        <f>S67</f>
        <v>111</v>
      </c>
      <c r="R67" t="s">
        <v>9</v>
      </c>
      <c r="S67">
        <v>111</v>
      </c>
      <c r="T67" t="s">
        <v>488</v>
      </c>
    </row>
    <row r="68" spans="1:20" x14ac:dyDescent="0.25">
      <c r="A68">
        <v>66</v>
      </c>
      <c r="B68" t="s">
        <v>105</v>
      </c>
      <c r="C68">
        <v>95134</v>
      </c>
      <c r="D68" t="str">
        <f>"097-15-028"</f>
        <v>097-15-028</v>
      </c>
      <c r="E68" t="s">
        <v>59</v>
      </c>
      <c r="F68" t="s">
        <v>59</v>
      </c>
      <c r="G68">
        <v>0</v>
      </c>
      <c r="H68">
        <v>0</v>
      </c>
      <c r="I68" s="1">
        <v>8.5810965022988199</v>
      </c>
      <c r="J68" s="24" t="s">
        <v>60</v>
      </c>
      <c r="K68" t="s">
        <v>484</v>
      </c>
      <c r="L68" t="s">
        <v>485</v>
      </c>
      <c r="M68" t="s">
        <v>486</v>
      </c>
      <c r="Q68">
        <f>S68</f>
        <v>644</v>
      </c>
      <c r="R68" t="s">
        <v>34</v>
      </c>
      <c r="S68">
        <v>644</v>
      </c>
      <c r="T68" t="s">
        <v>620</v>
      </c>
    </row>
    <row r="69" spans="1:20" x14ac:dyDescent="0.25">
      <c r="A69">
        <v>67</v>
      </c>
      <c r="B69" t="s">
        <v>106</v>
      </c>
      <c r="C69">
        <v>95132</v>
      </c>
      <c r="D69" t="str">
        <f>"591-14-025"</f>
        <v>591-14-025</v>
      </c>
      <c r="E69" t="s">
        <v>6</v>
      </c>
      <c r="F69" t="s">
        <v>33</v>
      </c>
      <c r="G69">
        <v>0</v>
      </c>
      <c r="H69">
        <v>0</v>
      </c>
      <c r="I69" s="1">
        <v>0.57658197927044397</v>
      </c>
      <c r="J69" s="24" t="s">
        <v>14</v>
      </c>
      <c r="K69" t="s">
        <v>484</v>
      </c>
      <c r="L69" t="s">
        <v>485</v>
      </c>
      <c r="M69" t="s">
        <v>486</v>
      </c>
      <c r="N69" s="2" t="s">
        <v>481</v>
      </c>
      <c r="O69">
        <f>S69</f>
        <v>49</v>
      </c>
      <c r="R69" t="s">
        <v>9</v>
      </c>
      <c r="S69">
        <v>49</v>
      </c>
      <c r="T69" s="3" t="s">
        <v>487</v>
      </c>
    </row>
    <row r="70" spans="1:20" x14ac:dyDescent="0.25">
      <c r="A70">
        <v>68</v>
      </c>
      <c r="B70" t="s">
        <v>107</v>
      </c>
      <c r="C70">
        <v>95128</v>
      </c>
      <c r="D70" t="str">
        <f>"279-08-019"</f>
        <v>279-08-019</v>
      </c>
      <c r="E70" t="s">
        <v>11</v>
      </c>
      <c r="F70" t="s">
        <v>11</v>
      </c>
      <c r="G70">
        <v>65</v>
      </c>
      <c r="H70">
        <v>250</v>
      </c>
      <c r="I70" s="1">
        <v>0.53051594772058497</v>
      </c>
      <c r="J70" s="24" t="s">
        <v>12</v>
      </c>
      <c r="K70" t="s">
        <v>484</v>
      </c>
      <c r="L70" t="s">
        <v>485</v>
      </c>
      <c r="M70" t="s">
        <v>486</v>
      </c>
      <c r="P70">
        <f>S70</f>
        <v>82</v>
      </c>
      <c r="R70" t="s">
        <v>25</v>
      </c>
      <c r="S70">
        <v>82</v>
      </c>
    </row>
    <row r="71" spans="1:20" x14ac:dyDescent="0.25">
      <c r="A71">
        <v>69</v>
      </c>
      <c r="B71" t="s">
        <v>108</v>
      </c>
      <c r="C71">
        <v>95128</v>
      </c>
      <c r="D71" t="str">
        <f>"279-17-044"</f>
        <v>279-17-044</v>
      </c>
      <c r="E71" t="s">
        <v>37</v>
      </c>
      <c r="F71" t="s">
        <v>37</v>
      </c>
      <c r="G71">
        <v>0</v>
      </c>
      <c r="H71">
        <v>75</v>
      </c>
      <c r="I71" s="1">
        <v>1.04122763025457</v>
      </c>
      <c r="J71" s="24" t="s">
        <v>14</v>
      </c>
      <c r="K71" t="s">
        <v>484</v>
      </c>
      <c r="L71" t="s">
        <v>485</v>
      </c>
      <c r="M71" t="s">
        <v>486</v>
      </c>
      <c r="N71" s="2" t="s">
        <v>481</v>
      </c>
      <c r="O71">
        <f>S71</f>
        <v>51</v>
      </c>
      <c r="R71" t="s">
        <v>9</v>
      </c>
      <c r="S71">
        <v>51</v>
      </c>
    </row>
    <row r="72" spans="1:20" x14ac:dyDescent="0.25">
      <c r="A72">
        <v>70</v>
      </c>
      <c r="B72" t="s">
        <v>109</v>
      </c>
      <c r="C72">
        <v>95128</v>
      </c>
      <c r="D72" t="str">
        <f>"279-25-014"</f>
        <v>279-25-014</v>
      </c>
      <c r="E72" t="s">
        <v>64</v>
      </c>
      <c r="F72" t="s">
        <v>64</v>
      </c>
      <c r="G72">
        <v>45</v>
      </c>
      <c r="H72">
        <v>95</v>
      </c>
      <c r="I72" s="1">
        <v>0.420068588731415</v>
      </c>
      <c r="J72" s="24" t="s">
        <v>14</v>
      </c>
      <c r="K72" t="s">
        <v>484</v>
      </c>
      <c r="L72" t="s">
        <v>485</v>
      </c>
      <c r="M72" t="s">
        <v>486</v>
      </c>
      <c r="P72">
        <f>S72</f>
        <v>19</v>
      </c>
      <c r="R72" t="s">
        <v>25</v>
      </c>
      <c r="S72">
        <v>19</v>
      </c>
    </row>
    <row r="73" spans="1:20" x14ac:dyDescent="0.25">
      <c r="A73">
        <v>71</v>
      </c>
      <c r="B73" t="s">
        <v>110</v>
      </c>
      <c r="C73">
        <v>95128</v>
      </c>
      <c r="D73" t="str">
        <f>"279-25-015"</f>
        <v>279-25-015</v>
      </c>
      <c r="E73" t="s">
        <v>64</v>
      </c>
      <c r="F73" t="s">
        <v>64</v>
      </c>
      <c r="G73">
        <v>45</v>
      </c>
      <c r="H73">
        <v>95</v>
      </c>
      <c r="I73" s="1">
        <v>0.27560509743257799</v>
      </c>
      <c r="J73" s="24" t="s">
        <v>12</v>
      </c>
      <c r="K73" t="s">
        <v>484</v>
      </c>
      <c r="L73" t="s">
        <v>485</v>
      </c>
      <c r="M73" t="s">
        <v>486</v>
      </c>
      <c r="P73">
        <f>S73</f>
        <v>12</v>
      </c>
      <c r="R73" t="s">
        <v>25</v>
      </c>
      <c r="S73">
        <v>12</v>
      </c>
    </row>
    <row r="74" spans="1:20" x14ac:dyDescent="0.25">
      <c r="A74">
        <v>72</v>
      </c>
      <c r="B74" t="s">
        <v>111</v>
      </c>
      <c r="C74">
        <v>95128</v>
      </c>
      <c r="D74" t="str">
        <f>"279-25-020"</f>
        <v>279-25-020</v>
      </c>
      <c r="E74" t="s">
        <v>64</v>
      </c>
      <c r="F74" t="s">
        <v>64</v>
      </c>
      <c r="G74">
        <v>45</v>
      </c>
      <c r="H74">
        <v>95</v>
      </c>
      <c r="I74" s="1">
        <v>0.51711703612948101</v>
      </c>
      <c r="J74" s="24" t="s">
        <v>12</v>
      </c>
      <c r="K74" t="s">
        <v>484</v>
      </c>
      <c r="L74" t="s">
        <v>485</v>
      </c>
      <c r="M74" t="s">
        <v>486</v>
      </c>
      <c r="Q74">
        <f>S74</f>
        <v>31</v>
      </c>
      <c r="R74" t="s">
        <v>34</v>
      </c>
      <c r="S74">
        <v>31</v>
      </c>
    </row>
    <row r="75" spans="1:20" x14ac:dyDescent="0.25">
      <c r="A75">
        <v>73</v>
      </c>
      <c r="B75" t="s">
        <v>112</v>
      </c>
      <c r="C75">
        <v>95128</v>
      </c>
      <c r="D75" t="str">
        <f>"279-25-025"</f>
        <v>279-25-025</v>
      </c>
      <c r="E75" t="s">
        <v>64</v>
      </c>
      <c r="F75" t="s">
        <v>64</v>
      </c>
      <c r="G75">
        <v>45</v>
      </c>
      <c r="H75">
        <v>95</v>
      </c>
      <c r="I75" s="1">
        <v>0.51536549770655804</v>
      </c>
      <c r="J75" s="24" t="s">
        <v>12</v>
      </c>
      <c r="K75" t="s">
        <v>484</v>
      </c>
      <c r="L75" t="s">
        <v>485</v>
      </c>
      <c r="M75" t="s">
        <v>486</v>
      </c>
      <c r="Q75">
        <f>S75</f>
        <v>37</v>
      </c>
      <c r="R75" t="s">
        <v>34</v>
      </c>
      <c r="S75">
        <v>37</v>
      </c>
    </row>
    <row r="76" spans="1:20" x14ac:dyDescent="0.25">
      <c r="A76">
        <v>74</v>
      </c>
      <c r="B76" t="s">
        <v>113</v>
      </c>
      <c r="C76">
        <v>95128</v>
      </c>
      <c r="D76" t="str">
        <f>"279-25-026"</f>
        <v>279-25-026</v>
      </c>
      <c r="E76" t="s">
        <v>64</v>
      </c>
      <c r="F76" t="s">
        <v>64</v>
      </c>
      <c r="G76">
        <v>45</v>
      </c>
      <c r="H76">
        <v>95</v>
      </c>
      <c r="I76" s="1">
        <v>0.20521373384581801</v>
      </c>
      <c r="J76" s="24" t="s">
        <v>12</v>
      </c>
      <c r="K76" t="s">
        <v>484</v>
      </c>
      <c r="L76" t="s">
        <v>485</v>
      </c>
      <c r="M76" t="s">
        <v>486</v>
      </c>
      <c r="P76">
        <f>S76</f>
        <v>9</v>
      </c>
      <c r="R76" t="s">
        <v>25</v>
      </c>
      <c r="S76">
        <v>9</v>
      </c>
    </row>
    <row r="77" spans="1:20" x14ac:dyDescent="0.25">
      <c r="A77">
        <v>75</v>
      </c>
      <c r="B77" t="s">
        <v>114</v>
      </c>
      <c r="C77">
        <v>95128</v>
      </c>
      <c r="D77" t="str">
        <f>"279-26-016"</f>
        <v>279-26-016</v>
      </c>
      <c r="E77" t="s">
        <v>64</v>
      </c>
      <c r="F77" t="s">
        <v>64</v>
      </c>
      <c r="G77">
        <v>45</v>
      </c>
      <c r="H77">
        <v>95</v>
      </c>
      <c r="I77" s="1">
        <v>0.50846717382606299</v>
      </c>
      <c r="J77" s="24" t="s">
        <v>12</v>
      </c>
      <c r="K77" t="s">
        <v>484</v>
      </c>
      <c r="L77" t="s">
        <v>485</v>
      </c>
      <c r="M77" t="s">
        <v>486</v>
      </c>
      <c r="P77">
        <f>S77</f>
        <v>47</v>
      </c>
      <c r="R77" t="s">
        <v>25</v>
      </c>
      <c r="S77">
        <v>47</v>
      </c>
    </row>
    <row r="78" spans="1:20" x14ac:dyDescent="0.25">
      <c r="A78">
        <v>76</v>
      </c>
      <c r="B78" t="s">
        <v>115</v>
      </c>
      <c r="C78">
        <v>95128</v>
      </c>
      <c r="D78" t="str">
        <f>"279-26-017"</f>
        <v>279-26-017</v>
      </c>
      <c r="E78" t="s">
        <v>64</v>
      </c>
      <c r="F78" t="s">
        <v>64</v>
      </c>
      <c r="G78">
        <v>45</v>
      </c>
      <c r="H78">
        <v>95</v>
      </c>
      <c r="I78" s="1">
        <v>0.53416462141100995</v>
      </c>
      <c r="J78" s="24" t="s">
        <v>12</v>
      </c>
      <c r="K78" t="s">
        <v>484</v>
      </c>
      <c r="L78" t="s">
        <v>485</v>
      </c>
      <c r="M78" t="s">
        <v>486</v>
      </c>
      <c r="P78">
        <f>S78</f>
        <v>32</v>
      </c>
      <c r="R78" t="s">
        <v>25</v>
      </c>
      <c r="S78">
        <v>32</v>
      </c>
    </row>
    <row r="79" spans="1:20" x14ac:dyDescent="0.25">
      <c r="A79">
        <v>77</v>
      </c>
      <c r="B79" t="s">
        <v>116</v>
      </c>
      <c r="C79">
        <v>95128</v>
      </c>
      <c r="D79" t="str">
        <f>"279-27-032"</f>
        <v>279-27-032</v>
      </c>
      <c r="E79" t="s">
        <v>64</v>
      </c>
      <c r="F79" t="s">
        <v>64</v>
      </c>
      <c r="G79">
        <v>45</v>
      </c>
      <c r="H79">
        <v>95</v>
      </c>
      <c r="I79" s="1">
        <v>1.0535701248753</v>
      </c>
      <c r="J79" s="24" t="s">
        <v>12</v>
      </c>
      <c r="K79" t="s">
        <v>484</v>
      </c>
      <c r="L79" t="s">
        <v>485</v>
      </c>
      <c r="M79" t="s">
        <v>486</v>
      </c>
      <c r="Q79">
        <f>S79</f>
        <v>96</v>
      </c>
      <c r="R79" t="s">
        <v>34</v>
      </c>
      <c r="S79">
        <v>96</v>
      </c>
    </row>
    <row r="80" spans="1:20" x14ac:dyDescent="0.25">
      <c r="A80">
        <v>78</v>
      </c>
      <c r="B80" t="s">
        <v>117</v>
      </c>
      <c r="C80">
        <v>95128</v>
      </c>
      <c r="D80" t="str">
        <f>"279-27-037"</f>
        <v>279-27-037</v>
      </c>
      <c r="E80" t="s">
        <v>64</v>
      </c>
      <c r="F80" t="s">
        <v>64</v>
      </c>
      <c r="G80">
        <v>45</v>
      </c>
      <c r="H80">
        <v>95</v>
      </c>
      <c r="I80" s="1">
        <v>0.58543318779898501</v>
      </c>
      <c r="J80" s="24" t="s">
        <v>14</v>
      </c>
      <c r="K80" t="s">
        <v>484</v>
      </c>
      <c r="L80" t="s">
        <v>485</v>
      </c>
      <c r="M80" t="s">
        <v>486</v>
      </c>
      <c r="N80" s="2" t="s">
        <v>481</v>
      </c>
      <c r="O80">
        <f>S80</f>
        <v>50</v>
      </c>
      <c r="R80" t="s">
        <v>9</v>
      </c>
      <c r="S80">
        <v>50</v>
      </c>
    </row>
    <row r="81" spans="1:19" x14ac:dyDescent="0.25">
      <c r="A81">
        <v>79</v>
      </c>
      <c r="B81" t="s">
        <v>118</v>
      </c>
      <c r="C81">
        <v>95128</v>
      </c>
      <c r="D81" t="str">
        <f>"279-27-002"</f>
        <v>279-27-002</v>
      </c>
      <c r="E81" t="s">
        <v>64</v>
      </c>
      <c r="F81" t="s">
        <v>64</v>
      </c>
      <c r="G81">
        <v>45</v>
      </c>
      <c r="H81">
        <v>95</v>
      </c>
      <c r="I81" s="1">
        <v>0.24988721075950099</v>
      </c>
      <c r="J81" s="24" t="s">
        <v>12</v>
      </c>
      <c r="K81" t="s">
        <v>484</v>
      </c>
      <c r="L81" t="s">
        <v>485</v>
      </c>
      <c r="M81" t="s">
        <v>486</v>
      </c>
      <c r="P81">
        <f>S81</f>
        <v>11</v>
      </c>
      <c r="R81" t="s">
        <v>25</v>
      </c>
      <c r="S81">
        <v>11</v>
      </c>
    </row>
    <row r="82" spans="1:19" x14ac:dyDescent="0.25">
      <c r="A82">
        <v>80</v>
      </c>
      <c r="B82" t="s">
        <v>119</v>
      </c>
      <c r="C82">
        <v>95128</v>
      </c>
      <c r="D82" t="str">
        <f>"282-11-017"</f>
        <v>282-11-017</v>
      </c>
      <c r="E82" t="s">
        <v>11</v>
      </c>
      <c r="F82" t="s">
        <v>11</v>
      </c>
      <c r="G82">
        <v>0</v>
      </c>
      <c r="H82">
        <v>150</v>
      </c>
      <c r="I82" s="1">
        <v>0.59952987278186298</v>
      </c>
      <c r="J82" s="24" t="s">
        <v>14</v>
      </c>
      <c r="K82" t="s">
        <v>484</v>
      </c>
      <c r="L82" t="s">
        <v>485</v>
      </c>
      <c r="M82" t="s">
        <v>486</v>
      </c>
      <c r="N82" s="2" t="s">
        <v>481</v>
      </c>
      <c r="O82">
        <f>S82</f>
        <v>105</v>
      </c>
      <c r="R82" t="s">
        <v>9</v>
      </c>
      <c r="S82">
        <v>105</v>
      </c>
    </row>
    <row r="83" spans="1:19" x14ac:dyDescent="0.25">
      <c r="A83">
        <v>81</v>
      </c>
      <c r="B83" t="s">
        <v>120</v>
      </c>
      <c r="C83">
        <v>95128</v>
      </c>
      <c r="D83" t="str">
        <f>"282-11-018"</f>
        <v>282-11-018</v>
      </c>
      <c r="E83" t="s">
        <v>11</v>
      </c>
      <c r="F83" t="s">
        <v>11</v>
      </c>
      <c r="G83">
        <v>0</v>
      </c>
      <c r="H83">
        <v>150</v>
      </c>
      <c r="I83" s="1">
        <v>0.54830739777722803</v>
      </c>
      <c r="J83" s="24" t="s">
        <v>12</v>
      </c>
      <c r="K83" t="s">
        <v>484</v>
      </c>
      <c r="L83" t="s">
        <v>485</v>
      </c>
      <c r="M83" t="s">
        <v>486</v>
      </c>
      <c r="Q83">
        <f>S83</f>
        <v>85</v>
      </c>
      <c r="R83" t="s">
        <v>34</v>
      </c>
      <c r="S83">
        <v>85</v>
      </c>
    </row>
    <row r="84" spans="1:19" x14ac:dyDescent="0.25">
      <c r="A84">
        <v>82</v>
      </c>
      <c r="B84" t="s">
        <v>121</v>
      </c>
      <c r="C84">
        <v>95128</v>
      </c>
      <c r="D84" t="str">
        <f>"282-11-021"</f>
        <v>282-11-021</v>
      </c>
      <c r="E84" t="s">
        <v>11</v>
      </c>
      <c r="F84" t="s">
        <v>11</v>
      </c>
      <c r="G84">
        <v>0</v>
      </c>
      <c r="H84">
        <v>150</v>
      </c>
      <c r="I84" s="1">
        <v>0.75424942978500298</v>
      </c>
      <c r="J84" s="24" t="s">
        <v>12</v>
      </c>
      <c r="K84" t="s">
        <v>484</v>
      </c>
      <c r="L84" t="s">
        <v>485</v>
      </c>
      <c r="M84" t="s">
        <v>486</v>
      </c>
      <c r="N84" s="2" t="s">
        <v>481</v>
      </c>
      <c r="O84">
        <f>S84</f>
        <v>96</v>
      </c>
      <c r="R84" t="s">
        <v>9</v>
      </c>
      <c r="S84">
        <v>96</v>
      </c>
    </row>
    <row r="85" spans="1:19" x14ac:dyDescent="0.25">
      <c r="A85">
        <v>83</v>
      </c>
      <c r="B85" t="s">
        <v>122</v>
      </c>
      <c r="C85">
        <v>95128</v>
      </c>
      <c r="D85" t="str">
        <f>"282-11-022"</f>
        <v>282-11-022</v>
      </c>
      <c r="E85" t="s">
        <v>11</v>
      </c>
      <c r="F85" t="s">
        <v>11</v>
      </c>
      <c r="G85">
        <v>0</v>
      </c>
      <c r="H85">
        <v>150</v>
      </c>
      <c r="I85" s="1">
        <v>0.815193344542264</v>
      </c>
      <c r="J85" s="24" t="s">
        <v>12</v>
      </c>
      <c r="K85" t="s">
        <v>484</v>
      </c>
      <c r="L85" t="s">
        <v>485</v>
      </c>
      <c r="M85" t="s">
        <v>486</v>
      </c>
      <c r="N85" s="2" t="s">
        <v>481</v>
      </c>
      <c r="O85">
        <f>S85</f>
        <v>143</v>
      </c>
      <c r="R85" t="s">
        <v>9</v>
      </c>
      <c r="S85">
        <v>143</v>
      </c>
    </row>
    <row r="86" spans="1:19" x14ac:dyDescent="0.25">
      <c r="A86">
        <v>84</v>
      </c>
      <c r="B86" t="s">
        <v>123</v>
      </c>
      <c r="C86">
        <v>95128</v>
      </c>
      <c r="D86" t="str">
        <f>"282-19-033"</f>
        <v>282-19-033</v>
      </c>
      <c r="E86" t="s">
        <v>11</v>
      </c>
      <c r="F86" t="s">
        <v>11</v>
      </c>
      <c r="G86">
        <v>0</v>
      </c>
      <c r="H86">
        <v>150</v>
      </c>
      <c r="I86" s="1">
        <v>0.78337799144927001</v>
      </c>
      <c r="J86" s="24" t="s">
        <v>12</v>
      </c>
      <c r="K86" t="s">
        <v>484</v>
      </c>
      <c r="L86" t="s">
        <v>485</v>
      </c>
      <c r="M86" t="s">
        <v>486</v>
      </c>
      <c r="N86" s="2" t="s">
        <v>481</v>
      </c>
      <c r="O86">
        <f>S86</f>
        <v>106</v>
      </c>
      <c r="R86" t="s">
        <v>9</v>
      </c>
      <c r="S86">
        <v>106</v>
      </c>
    </row>
    <row r="87" spans="1:19" x14ac:dyDescent="0.25">
      <c r="A87">
        <v>85</v>
      </c>
      <c r="B87" t="s">
        <v>124</v>
      </c>
      <c r="C87">
        <v>95128</v>
      </c>
      <c r="D87" t="str">
        <f>"282-28-001"</f>
        <v>282-28-001</v>
      </c>
      <c r="E87" t="s">
        <v>11</v>
      </c>
      <c r="F87" t="s">
        <v>11</v>
      </c>
      <c r="G87">
        <v>0</v>
      </c>
      <c r="H87">
        <v>150</v>
      </c>
      <c r="I87" s="1">
        <v>0.522074306086169</v>
      </c>
      <c r="J87" s="24" t="s">
        <v>14</v>
      </c>
      <c r="K87" t="s">
        <v>484</v>
      </c>
      <c r="L87" t="s">
        <v>485</v>
      </c>
      <c r="M87" t="s">
        <v>486</v>
      </c>
      <c r="Q87">
        <f>S87</f>
        <v>54</v>
      </c>
      <c r="R87" t="s">
        <v>34</v>
      </c>
      <c r="S87">
        <v>54</v>
      </c>
    </row>
    <row r="88" spans="1:19" x14ac:dyDescent="0.25">
      <c r="A88">
        <v>86</v>
      </c>
      <c r="B88" t="s">
        <v>125</v>
      </c>
      <c r="C88">
        <v>95128</v>
      </c>
      <c r="D88" t="str">
        <f>"282-28-003"</f>
        <v>282-28-003</v>
      </c>
      <c r="E88" t="s">
        <v>11</v>
      </c>
      <c r="F88" t="s">
        <v>11</v>
      </c>
      <c r="G88">
        <v>0</v>
      </c>
      <c r="H88">
        <v>150</v>
      </c>
      <c r="I88" s="1">
        <v>0.95849015927110803</v>
      </c>
      <c r="J88" s="24" t="s">
        <v>12</v>
      </c>
      <c r="K88" t="s">
        <v>484</v>
      </c>
      <c r="L88" t="s">
        <v>485</v>
      </c>
      <c r="M88" t="s">
        <v>486</v>
      </c>
      <c r="N88" s="2" t="s">
        <v>481</v>
      </c>
      <c r="O88">
        <f>S88</f>
        <v>89</v>
      </c>
      <c r="R88" t="s">
        <v>9</v>
      </c>
      <c r="S88">
        <v>89</v>
      </c>
    </row>
    <row r="89" spans="1:19" x14ac:dyDescent="0.25">
      <c r="A89">
        <v>87</v>
      </c>
      <c r="B89" t="s">
        <v>126</v>
      </c>
      <c r="C89">
        <v>95128</v>
      </c>
      <c r="D89" t="str">
        <f>"282-28-004"</f>
        <v>282-28-004</v>
      </c>
      <c r="E89" t="s">
        <v>11</v>
      </c>
      <c r="F89" t="s">
        <v>11</v>
      </c>
      <c r="G89">
        <v>0</v>
      </c>
      <c r="H89">
        <v>150</v>
      </c>
      <c r="I89" s="1">
        <v>0.96972269524691002</v>
      </c>
      <c r="J89" s="24" t="s">
        <v>12</v>
      </c>
      <c r="K89" t="s">
        <v>484</v>
      </c>
      <c r="L89" t="s">
        <v>485</v>
      </c>
      <c r="M89" t="s">
        <v>486</v>
      </c>
      <c r="N89" s="2" t="s">
        <v>481</v>
      </c>
      <c r="O89">
        <f>S89</f>
        <v>81</v>
      </c>
      <c r="R89" t="s">
        <v>9</v>
      </c>
      <c r="S89">
        <v>81</v>
      </c>
    </row>
    <row r="90" spans="1:19" x14ac:dyDescent="0.25">
      <c r="A90">
        <v>88</v>
      </c>
      <c r="B90" t="s">
        <v>127</v>
      </c>
      <c r="C90">
        <v>95128</v>
      </c>
      <c r="D90" t="str">
        <f>"282-28-005"</f>
        <v>282-28-005</v>
      </c>
      <c r="E90" t="s">
        <v>11</v>
      </c>
      <c r="F90" t="s">
        <v>11</v>
      </c>
      <c r="G90">
        <v>0</v>
      </c>
      <c r="H90">
        <v>150</v>
      </c>
      <c r="I90" s="1">
        <v>0.96607729057268699</v>
      </c>
      <c r="J90" s="24" t="s">
        <v>12</v>
      </c>
      <c r="K90" t="s">
        <v>484</v>
      </c>
      <c r="L90" t="s">
        <v>485</v>
      </c>
      <c r="M90" t="s">
        <v>486</v>
      </c>
      <c r="N90" s="2" t="s">
        <v>481</v>
      </c>
      <c r="O90">
        <f>S90</f>
        <v>76</v>
      </c>
      <c r="R90" t="s">
        <v>9</v>
      </c>
      <c r="S90">
        <v>76</v>
      </c>
    </row>
    <row r="91" spans="1:19" x14ac:dyDescent="0.25">
      <c r="A91">
        <v>89</v>
      </c>
      <c r="B91" t="s">
        <v>128</v>
      </c>
      <c r="C91">
        <v>95128</v>
      </c>
      <c r="D91" t="str">
        <f>"282-28-006"</f>
        <v>282-28-006</v>
      </c>
      <c r="E91" t="s">
        <v>11</v>
      </c>
      <c r="F91" t="s">
        <v>11</v>
      </c>
      <c r="G91">
        <v>0</v>
      </c>
      <c r="H91">
        <v>150</v>
      </c>
      <c r="I91" s="1">
        <v>0.96097280451836697</v>
      </c>
      <c r="J91" s="24" t="s">
        <v>12</v>
      </c>
      <c r="K91" t="s">
        <v>484</v>
      </c>
      <c r="L91" t="s">
        <v>485</v>
      </c>
      <c r="M91" t="s">
        <v>486</v>
      </c>
      <c r="N91" s="2" t="s">
        <v>481</v>
      </c>
      <c r="O91">
        <f>S91</f>
        <v>76</v>
      </c>
      <c r="R91" t="s">
        <v>9</v>
      </c>
      <c r="S91">
        <v>76</v>
      </c>
    </row>
    <row r="92" spans="1:19" x14ac:dyDescent="0.25">
      <c r="A92">
        <v>90</v>
      </c>
      <c r="B92" t="s">
        <v>129</v>
      </c>
      <c r="C92">
        <v>95128</v>
      </c>
      <c r="D92" t="str">
        <f>"282-28-013"</f>
        <v>282-28-013</v>
      </c>
      <c r="E92" t="s">
        <v>11</v>
      </c>
      <c r="F92" t="s">
        <v>11</v>
      </c>
      <c r="G92">
        <v>0</v>
      </c>
      <c r="H92">
        <v>150</v>
      </c>
      <c r="I92" s="1">
        <v>0.62925669390456795</v>
      </c>
      <c r="J92" s="24" t="s">
        <v>14</v>
      </c>
      <c r="K92" t="s">
        <v>484</v>
      </c>
      <c r="L92" t="s">
        <v>485</v>
      </c>
      <c r="M92" t="s">
        <v>486</v>
      </c>
      <c r="P92">
        <f>S92</f>
        <v>74</v>
      </c>
      <c r="R92" t="s">
        <v>25</v>
      </c>
      <c r="S92">
        <v>74</v>
      </c>
    </row>
    <row r="93" spans="1:19" x14ac:dyDescent="0.25">
      <c r="A93">
        <v>91</v>
      </c>
      <c r="B93" t="s">
        <v>130</v>
      </c>
      <c r="C93">
        <v>95128</v>
      </c>
      <c r="D93" t="str">
        <f>"282-28-008"</f>
        <v>282-28-008</v>
      </c>
      <c r="E93" t="s">
        <v>11</v>
      </c>
      <c r="F93" t="s">
        <v>11</v>
      </c>
      <c r="G93">
        <v>0</v>
      </c>
      <c r="H93">
        <v>150</v>
      </c>
      <c r="I93" s="1">
        <v>0.58831760618546103</v>
      </c>
      <c r="J93" s="24" t="s">
        <v>14</v>
      </c>
      <c r="K93" t="s">
        <v>484</v>
      </c>
      <c r="L93" t="s">
        <v>485</v>
      </c>
      <c r="M93" t="s">
        <v>486</v>
      </c>
      <c r="N93" s="2" t="s">
        <v>481</v>
      </c>
      <c r="O93">
        <f>S93</f>
        <v>70</v>
      </c>
      <c r="R93" t="s">
        <v>9</v>
      </c>
      <c r="S93">
        <v>70</v>
      </c>
    </row>
    <row r="94" spans="1:19" x14ac:dyDescent="0.25">
      <c r="A94">
        <v>92</v>
      </c>
      <c r="B94" t="s">
        <v>131</v>
      </c>
      <c r="C94">
        <v>95128</v>
      </c>
      <c r="D94" t="str">
        <f>"282-29-007"</f>
        <v>282-29-007</v>
      </c>
      <c r="E94" t="s">
        <v>11</v>
      </c>
      <c r="F94" t="s">
        <v>11</v>
      </c>
      <c r="G94">
        <v>0</v>
      </c>
      <c r="H94">
        <v>150</v>
      </c>
      <c r="I94" s="1">
        <v>0.83008408393270094</v>
      </c>
      <c r="J94" s="24" t="s">
        <v>12</v>
      </c>
      <c r="K94" t="s">
        <v>484</v>
      </c>
      <c r="L94" t="s">
        <v>485</v>
      </c>
      <c r="M94" t="s">
        <v>486</v>
      </c>
      <c r="N94" s="2" t="s">
        <v>481</v>
      </c>
      <c r="O94">
        <f>S94</f>
        <v>137</v>
      </c>
      <c r="R94" t="s">
        <v>9</v>
      </c>
      <c r="S94">
        <v>137</v>
      </c>
    </row>
    <row r="95" spans="1:19" x14ac:dyDescent="0.25">
      <c r="A95">
        <v>93</v>
      </c>
      <c r="B95" t="s">
        <v>132</v>
      </c>
      <c r="C95">
        <v>95128</v>
      </c>
      <c r="D95" t="str">
        <f>"282-29-010"</f>
        <v>282-29-010</v>
      </c>
      <c r="E95" t="s">
        <v>11</v>
      </c>
      <c r="F95" t="s">
        <v>11</v>
      </c>
      <c r="G95">
        <v>0</v>
      </c>
      <c r="H95">
        <v>150</v>
      </c>
      <c r="I95" s="1">
        <v>0.42443534815950501</v>
      </c>
      <c r="J95" s="24" t="s">
        <v>12</v>
      </c>
      <c r="K95" t="s">
        <v>484</v>
      </c>
      <c r="L95" t="s">
        <v>485</v>
      </c>
      <c r="M95" t="s">
        <v>486</v>
      </c>
      <c r="Q95">
        <f>S95</f>
        <v>74</v>
      </c>
      <c r="R95" t="s">
        <v>34</v>
      </c>
      <c r="S95">
        <v>74</v>
      </c>
    </row>
    <row r="96" spans="1:19" x14ac:dyDescent="0.25">
      <c r="A96">
        <v>94</v>
      </c>
      <c r="B96" t="s">
        <v>133</v>
      </c>
      <c r="C96">
        <v>95128</v>
      </c>
      <c r="D96" t="str">
        <f>"282-29-011"</f>
        <v>282-29-011</v>
      </c>
      <c r="E96" t="s">
        <v>11</v>
      </c>
      <c r="F96" t="s">
        <v>11</v>
      </c>
      <c r="G96">
        <v>0</v>
      </c>
      <c r="H96">
        <v>150</v>
      </c>
      <c r="I96" s="1">
        <v>0.46393945364324402</v>
      </c>
      <c r="J96" s="24" t="s">
        <v>134</v>
      </c>
      <c r="K96" t="s">
        <v>484</v>
      </c>
      <c r="L96" t="s">
        <v>485</v>
      </c>
      <c r="M96" t="s">
        <v>486</v>
      </c>
      <c r="N96" s="2" t="s">
        <v>481</v>
      </c>
      <c r="O96">
        <f>S96</f>
        <v>74</v>
      </c>
      <c r="R96" t="s">
        <v>9</v>
      </c>
      <c r="S96">
        <v>74</v>
      </c>
    </row>
    <row r="97" spans="1:20" x14ac:dyDescent="0.25">
      <c r="A97">
        <v>95</v>
      </c>
      <c r="B97" t="s">
        <v>135</v>
      </c>
      <c r="C97">
        <v>95128</v>
      </c>
      <c r="D97" t="str">
        <f>"282-29-018"</f>
        <v>282-29-018</v>
      </c>
      <c r="E97" t="s">
        <v>11</v>
      </c>
      <c r="F97" t="s">
        <v>11</v>
      </c>
      <c r="G97">
        <v>0</v>
      </c>
      <c r="H97">
        <v>150</v>
      </c>
      <c r="I97" s="1">
        <v>0.51009348069161597</v>
      </c>
      <c r="J97" s="24" t="s">
        <v>12</v>
      </c>
      <c r="K97" t="s">
        <v>484</v>
      </c>
      <c r="L97" t="s">
        <v>485</v>
      </c>
      <c r="M97" t="s">
        <v>486</v>
      </c>
      <c r="Q97">
        <f>S97</f>
        <v>87</v>
      </c>
      <c r="R97" t="s">
        <v>34</v>
      </c>
      <c r="S97">
        <v>87</v>
      </c>
    </row>
    <row r="98" spans="1:20" x14ac:dyDescent="0.25">
      <c r="A98">
        <v>96</v>
      </c>
      <c r="B98" t="s">
        <v>136</v>
      </c>
      <c r="C98">
        <v>95128</v>
      </c>
      <c r="D98" t="str">
        <f>"282-29-005"</f>
        <v>282-29-005</v>
      </c>
      <c r="E98" t="s">
        <v>11</v>
      </c>
      <c r="F98" t="s">
        <v>11</v>
      </c>
      <c r="G98">
        <v>0</v>
      </c>
      <c r="H98">
        <v>150</v>
      </c>
      <c r="I98" s="1">
        <v>0.55098976094181096</v>
      </c>
      <c r="J98" s="24" t="s">
        <v>12</v>
      </c>
      <c r="K98" t="s">
        <v>484</v>
      </c>
      <c r="L98" t="s">
        <v>485</v>
      </c>
      <c r="M98" t="s">
        <v>486</v>
      </c>
      <c r="Q98">
        <f>S98</f>
        <v>74</v>
      </c>
      <c r="R98" t="s">
        <v>34</v>
      </c>
      <c r="S98">
        <v>74</v>
      </c>
    </row>
    <row r="99" spans="1:20" x14ac:dyDescent="0.25">
      <c r="A99">
        <v>97</v>
      </c>
      <c r="B99" t="s">
        <v>137</v>
      </c>
      <c r="C99">
        <v>95128</v>
      </c>
      <c r="D99" t="str">
        <f>"282-29-016"</f>
        <v>282-29-016</v>
      </c>
      <c r="E99" t="s">
        <v>11</v>
      </c>
      <c r="F99" t="s">
        <v>11</v>
      </c>
      <c r="G99">
        <v>0</v>
      </c>
      <c r="H99">
        <v>150</v>
      </c>
      <c r="I99" s="1">
        <v>0.74316960241919205</v>
      </c>
      <c r="J99" s="24" t="s">
        <v>12</v>
      </c>
      <c r="K99" t="s">
        <v>484</v>
      </c>
      <c r="L99" t="s">
        <v>485</v>
      </c>
      <c r="M99" t="s">
        <v>486</v>
      </c>
      <c r="Q99">
        <f>S99</f>
        <v>87</v>
      </c>
      <c r="R99" t="s">
        <v>34</v>
      </c>
      <c r="S99">
        <v>87</v>
      </c>
    </row>
    <row r="100" spans="1:20" x14ac:dyDescent="0.25">
      <c r="A100">
        <v>98</v>
      </c>
      <c r="B100" t="s">
        <v>138</v>
      </c>
      <c r="C100">
        <v>95128</v>
      </c>
      <c r="D100" t="str">
        <f>"284-03-036"</f>
        <v>284-03-036</v>
      </c>
      <c r="E100" t="s">
        <v>6</v>
      </c>
      <c r="F100" t="s">
        <v>33</v>
      </c>
      <c r="G100">
        <v>0</v>
      </c>
      <c r="H100">
        <v>0</v>
      </c>
      <c r="I100" s="1">
        <v>0.66831737741987296</v>
      </c>
      <c r="J100" s="24" t="s">
        <v>8</v>
      </c>
      <c r="K100" t="s">
        <v>484</v>
      </c>
      <c r="L100" t="s">
        <v>485</v>
      </c>
      <c r="M100" t="s">
        <v>486</v>
      </c>
      <c r="N100" s="2" t="s">
        <v>481</v>
      </c>
      <c r="O100">
        <f>S100</f>
        <v>46</v>
      </c>
      <c r="R100" t="s">
        <v>9</v>
      </c>
      <c r="S100">
        <v>46</v>
      </c>
      <c r="T100" t="s">
        <v>488</v>
      </c>
    </row>
    <row r="101" spans="1:20" x14ac:dyDescent="0.25">
      <c r="A101">
        <v>99</v>
      </c>
      <c r="B101" t="s">
        <v>139</v>
      </c>
      <c r="C101">
        <v>95125</v>
      </c>
      <c r="D101" t="str">
        <f>"284-18-011"</f>
        <v>284-18-011</v>
      </c>
      <c r="E101" t="s">
        <v>6</v>
      </c>
      <c r="F101" t="s">
        <v>33</v>
      </c>
      <c r="G101">
        <v>0</v>
      </c>
      <c r="H101">
        <v>0</v>
      </c>
      <c r="I101" s="1">
        <v>1.42918060654298</v>
      </c>
      <c r="J101" s="24" t="s">
        <v>14</v>
      </c>
      <c r="K101" t="s">
        <v>484</v>
      </c>
      <c r="L101" t="s">
        <v>485</v>
      </c>
      <c r="M101" t="s">
        <v>486</v>
      </c>
      <c r="N101" s="2" t="s">
        <v>481</v>
      </c>
      <c r="O101">
        <f>S101</f>
        <v>130</v>
      </c>
      <c r="R101" t="s">
        <v>9</v>
      </c>
      <c r="S101">
        <v>130</v>
      </c>
      <c r="T101" t="s">
        <v>488</v>
      </c>
    </row>
    <row r="102" spans="1:20" x14ac:dyDescent="0.25">
      <c r="A102">
        <v>100</v>
      </c>
      <c r="B102" t="s">
        <v>140</v>
      </c>
      <c r="C102">
        <v>95125</v>
      </c>
      <c r="D102" t="str">
        <f>"284-18-005"</f>
        <v>284-18-005</v>
      </c>
      <c r="E102" t="s">
        <v>6</v>
      </c>
      <c r="F102" t="s">
        <v>30</v>
      </c>
      <c r="G102">
        <v>0</v>
      </c>
      <c r="H102">
        <v>0</v>
      </c>
      <c r="I102" s="1">
        <v>0.70955560072252499</v>
      </c>
      <c r="J102" s="24" t="s">
        <v>12</v>
      </c>
      <c r="K102" t="s">
        <v>484</v>
      </c>
      <c r="L102" t="s">
        <v>485</v>
      </c>
      <c r="M102" t="s">
        <v>486</v>
      </c>
      <c r="N102" s="2" t="s">
        <v>481</v>
      </c>
      <c r="O102">
        <f>S102</f>
        <v>62</v>
      </c>
      <c r="R102" t="s">
        <v>9</v>
      </c>
      <c r="S102">
        <v>62</v>
      </c>
      <c r="T102" t="s">
        <v>488</v>
      </c>
    </row>
    <row r="103" spans="1:20" x14ac:dyDescent="0.25">
      <c r="A103">
        <v>101</v>
      </c>
      <c r="B103" t="s">
        <v>141</v>
      </c>
      <c r="C103">
        <v>95125</v>
      </c>
      <c r="D103" t="str">
        <f>"284-18-003"</f>
        <v>284-18-003</v>
      </c>
      <c r="E103" t="s">
        <v>6</v>
      </c>
      <c r="F103" t="s">
        <v>30</v>
      </c>
      <c r="G103">
        <v>0</v>
      </c>
      <c r="H103">
        <v>0</v>
      </c>
      <c r="I103" s="1">
        <v>1.6815245984791101</v>
      </c>
      <c r="J103" s="24" t="s">
        <v>12</v>
      </c>
      <c r="K103" t="s">
        <v>484</v>
      </c>
      <c r="L103" t="s">
        <v>485</v>
      </c>
      <c r="M103" t="s">
        <v>486</v>
      </c>
      <c r="N103" s="2" t="s">
        <v>481</v>
      </c>
      <c r="O103">
        <f>S103</f>
        <v>153</v>
      </c>
      <c r="R103" t="s">
        <v>9</v>
      </c>
      <c r="S103">
        <v>153</v>
      </c>
      <c r="T103" t="s">
        <v>488</v>
      </c>
    </row>
    <row r="104" spans="1:20" x14ac:dyDescent="0.25">
      <c r="A104">
        <v>102</v>
      </c>
      <c r="B104" t="s">
        <v>142</v>
      </c>
      <c r="C104">
        <v>95126</v>
      </c>
      <c r="D104" t="str">
        <f>"284-32-010"</f>
        <v>284-32-010</v>
      </c>
      <c r="E104" t="s">
        <v>6</v>
      </c>
      <c r="F104" t="s">
        <v>33</v>
      </c>
      <c r="G104">
        <v>0</v>
      </c>
      <c r="H104">
        <v>0</v>
      </c>
      <c r="I104" s="1">
        <v>0.78705024080888597</v>
      </c>
      <c r="J104" s="24" t="s">
        <v>14</v>
      </c>
      <c r="K104" t="s">
        <v>484</v>
      </c>
      <c r="L104" t="s">
        <v>485</v>
      </c>
      <c r="M104" t="s">
        <v>486</v>
      </c>
      <c r="N104" s="2" t="s">
        <v>481</v>
      </c>
      <c r="O104">
        <f>S104</f>
        <v>71</v>
      </c>
      <c r="R104" t="s">
        <v>9</v>
      </c>
      <c r="S104">
        <v>71</v>
      </c>
      <c r="T104" t="s">
        <v>488</v>
      </c>
    </row>
    <row r="105" spans="1:20" x14ac:dyDescent="0.25">
      <c r="A105">
        <v>103</v>
      </c>
      <c r="B105" t="s">
        <v>143</v>
      </c>
      <c r="C105">
        <v>95126</v>
      </c>
      <c r="D105" t="str">
        <f>"284-32-011"</f>
        <v>284-32-011</v>
      </c>
      <c r="E105" t="s">
        <v>6</v>
      </c>
      <c r="F105" t="s">
        <v>33</v>
      </c>
      <c r="G105">
        <v>0</v>
      </c>
      <c r="H105">
        <v>0</v>
      </c>
      <c r="I105" s="1">
        <v>1.35227545502947</v>
      </c>
      <c r="J105" s="24" t="s">
        <v>12</v>
      </c>
      <c r="K105" t="s">
        <v>484</v>
      </c>
      <c r="L105" t="s">
        <v>485</v>
      </c>
      <c r="M105" t="s">
        <v>486</v>
      </c>
      <c r="N105" s="2" t="s">
        <v>481</v>
      </c>
      <c r="O105">
        <f>S105</f>
        <v>123</v>
      </c>
      <c r="R105" t="s">
        <v>9</v>
      </c>
      <c r="S105">
        <v>123</v>
      </c>
      <c r="T105" t="s">
        <v>488</v>
      </c>
    </row>
    <row r="106" spans="1:20" x14ac:dyDescent="0.25">
      <c r="A106">
        <v>104</v>
      </c>
      <c r="B106" t="s">
        <v>144</v>
      </c>
      <c r="C106">
        <v>95129</v>
      </c>
      <c r="D106" t="str">
        <f>"294-40-002"</f>
        <v>294-40-002</v>
      </c>
      <c r="E106" t="s">
        <v>11</v>
      </c>
      <c r="F106" t="s">
        <v>11</v>
      </c>
      <c r="G106">
        <v>65</v>
      </c>
      <c r="H106">
        <v>250</v>
      </c>
      <c r="I106" s="1">
        <v>0.17977176810300299</v>
      </c>
      <c r="J106" s="24" t="s">
        <v>12</v>
      </c>
      <c r="K106" t="s">
        <v>484</v>
      </c>
      <c r="L106" t="s">
        <v>485</v>
      </c>
      <c r="M106" t="s">
        <v>486</v>
      </c>
      <c r="P106">
        <f>S106</f>
        <v>18</v>
      </c>
      <c r="R106" t="s">
        <v>25</v>
      </c>
      <c r="S106">
        <v>18</v>
      </c>
    </row>
    <row r="107" spans="1:20" x14ac:dyDescent="0.25">
      <c r="A107">
        <v>105</v>
      </c>
      <c r="B107" t="s">
        <v>145</v>
      </c>
      <c r="C107">
        <v>95129</v>
      </c>
      <c r="D107" t="str">
        <f>"294-40-012"</f>
        <v>294-40-012</v>
      </c>
      <c r="E107" t="s">
        <v>11</v>
      </c>
      <c r="F107" t="s">
        <v>11</v>
      </c>
      <c r="G107">
        <v>65</v>
      </c>
      <c r="H107">
        <v>250</v>
      </c>
      <c r="I107" s="1">
        <v>0.42233528849561802</v>
      </c>
      <c r="J107" s="24" t="s">
        <v>12</v>
      </c>
      <c r="K107" t="s">
        <v>484</v>
      </c>
      <c r="L107" t="s">
        <v>485</v>
      </c>
      <c r="M107" t="s">
        <v>486</v>
      </c>
      <c r="P107">
        <f>S107</f>
        <v>66</v>
      </c>
      <c r="R107" t="s">
        <v>25</v>
      </c>
      <c r="S107">
        <v>66</v>
      </c>
    </row>
    <row r="108" spans="1:20" x14ac:dyDescent="0.25">
      <c r="A108">
        <v>106</v>
      </c>
      <c r="B108" t="s">
        <v>146</v>
      </c>
      <c r="C108">
        <v>95129</v>
      </c>
      <c r="D108" t="str">
        <f>"294-40-006"</f>
        <v>294-40-006</v>
      </c>
      <c r="E108" t="s">
        <v>11</v>
      </c>
      <c r="F108" t="s">
        <v>11</v>
      </c>
      <c r="G108">
        <v>65</v>
      </c>
      <c r="H108">
        <v>250</v>
      </c>
      <c r="I108" s="1">
        <v>2.0012504672458502</v>
      </c>
      <c r="J108" s="24" t="s">
        <v>12</v>
      </c>
      <c r="K108" t="s">
        <v>484</v>
      </c>
      <c r="L108" t="s">
        <v>485</v>
      </c>
      <c r="M108" t="s">
        <v>486</v>
      </c>
      <c r="P108">
        <f>S108</f>
        <v>130</v>
      </c>
      <c r="R108" t="s">
        <v>25</v>
      </c>
      <c r="S108">
        <v>130</v>
      </c>
    </row>
    <row r="109" spans="1:20" x14ac:dyDescent="0.25">
      <c r="A109">
        <v>107</v>
      </c>
      <c r="B109" t="s">
        <v>147</v>
      </c>
      <c r="C109">
        <v>95129</v>
      </c>
      <c r="D109" t="str">
        <f>"294-42-001"</f>
        <v>294-42-001</v>
      </c>
      <c r="E109" t="s">
        <v>11</v>
      </c>
      <c r="F109" t="s">
        <v>11</v>
      </c>
      <c r="G109">
        <v>65</v>
      </c>
      <c r="H109">
        <v>250</v>
      </c>
      <c r="I109" s="1">
        <v>0.89729705295705697</v>
      </c>
      <c r="J109" s="24" t="s">
        <v>12</v>
      </c>
      <c r="K109" t="s">
        <v>484</v>
      </c>
      <c r="L109" t="s">
        <v>485</v>
      </c>
      <c r="M109" t="s">
        <v>486</v>
      </c>
      <c r="P109">
        <f>S109</f>
        <v>58</v>
      </c>
      <c r="R109" t="s">
        <v>25</v>
      </c>
      <c r="S109">
        <v>58</v>
      </c>
    </row>
    <row r="110" spans="1:20" x14ac:dyDescent="0.25">
      <c r="A110">
        <v>108</v>
      </c>
      <c r="B110" t="s">
        <v>148</v>
      </c>
      <c r="C110">
        <v>95129</v>
      </c>
      <c r="D110" t="str">
        <f>"294-42-004"</f>
        <v>294-42-004</v>
      </c>
      <c r="E110" t="s">
        <v>11</v>
      </c>
      <c r="F110" t="s">
        <v>11</v>
      </c>
      <c r="G110">
        <v>65</v>
      </c>
      <c r="H110">
        <v>250</v>
      </c>
      <c r="I110" s="1">
        <v>0.57621366269492602</v>
      </c>
      <c r="J110" s="24" t="s">
        <v>48</v>
      </c>
      <c r="K110" t="s">
        <v>484</v>
      </c>
      <c r="L110" t="s">
        <v>485</v>
      </c>
      <c r="M110" t="s">
        <v>486</v>
      </c>
      <c r="N110" s="2" t="s">
        <v>481</v>
      </c>
      <c r="O110">
        <f>S110</f>
        <v>56</v>
      </c>
      <c r="R110" t="s">
        <v>9</v>
      </c>
      <c r="S110">
        <v>56</v>
      </c>
      <c r="T110" t="s">
        <v>488</v>
      </c>
    </row>
    <row r="111" spans="1:20" x14ac:dyDescent="0.25">
      <c r="A111">
        <v>109</v>
      </c>
      <c r="B111" t="s">
        <v>149</v>
      </c>
      <c r="C111">
        <v>95129</v>
      </c>
      <c r="D111" t="str">
        <f>"296-27-068"</f>
        <v>296-27-068</v>
      </c>
      <c r="E111" t="s">
        <v>37</v>
      </c>
      <c r="F111" t="s">
        <v>37</v>
      </c>
      <c r="G111">
        <v>0</v>
      </c>
      <c r="H111">
        <v>50</v>
      </c>
      <c r="I111" s="1">
        <v>0.60139496416656302</v>
      </c>
      <c r="J111" s="24" t="s">
        <v>12</v>
      </c>
      <c r="K111" t="s">
        <v>484</v>
      </c>
      <c r="L111" t="s">
        <v>485</v>
      </c>
      <c r="M111" t="s">
        <v>486</v>
      </c>
      <c r="N111" s="2" t="s">
        <v>481</v>
      </c>
      <c r="O111">
        <f>S111</f>
        <v>66</v>
      </c>
      <c r="R111" t="s">
        <v>9</v>
      </c>
      <c r="S111">
        <v>66</v>
      </c>
    </row>
    <row r="112" spans="1:20" x14ac:dyDescent="0.25">
      <c r="A112">
        <v>110</v>
      </c>
      <c r="B112" t="s">
        <v>150</v>
      </c>
      <c r="C112">
        <v>95129</v>
      </c>
      <c r="D112" t="str">
        <f>"296-27-005"</f>
        <v>296-27-005</v>
      </c>
      <c r="E112" t="s">
        <v>37</v>
      </c>
      <c r="F112" t="s">
        <v>37</v>
      </c>
      <c r="G112">
        <v>0</v>
      </c>
      <c r="H112">
        <v>50</v>
      </c>
      <c r="I112" s="1">
        <v>0.60089232900620904</v>
      </c>
      <c r="J112" s="24" t="s">
        <v>14</v>
      </c>
      <c r="K112" t="s">
        <v>484</v>
      </c>
      <c r="L112" t="s">
        <v>485</v>
      </c>
      <c r="M112" t="s">
        <v>486</v>
      </c>
      <c r="N112" s="2" t="s">
        <v>481</v>
      </c>
      <c r="O112">
        <f>S112</f>
        <v>60</v>
      </c>
      <c r="R112" t="s">
        <v>9</v>
      </c>
      <c r="S112">
        <v>60</v>
      </c>
    </row>
    <row r="113" spans="1:20" x14ac:dyDescent="0.25">
      <c r="A113">
        <v>111</v>
      </c>
      <c r="B113" t="s">
        <v>151</v>
      </c>
      <c r="C113">
        <v>95128</v>
      </c>
      <c r="D113" t="str">
        <f>"299-01-008"</f>
        <v>299-01-008</v>
      </c>
      <c r="E113" t="s">
        <v>11</v>
      </c>
      <c r="F113" t="s">
        <v>11</v>
      </c>
      <c r="G113">
        <v>65</v>
      </c>
      <c r="H113">
        <v>250</v>
      </c>
      <c r="I113" s="1">
        <v>0.49986851897019402</v>
      </c>
      <c r="J113" s="24" t="s">
        <v>12</v>
      </c>
      <c r="K113" t="s">
        <v>484</v>
      </c>
      <c r="L113" t="s">
        <v>485</v>
      </c>
      <c r="M113" t="s">
        <v>486</v>
      </c>
      <c r="Q113">
        <f>S113</f>
        <v>88</v>
      </c>
      <c r="R113" t="s">
        <v>34</v>
      </c>
      <c r="S113">
        <v>88</v>
      </c>
    </row>
    <row r="114" spans="1:20" x14ac:dyDescent="0.25">
      <c r="A114">
        <v>112</v>
      </c>
      <c r="B114" t="s">
        <v>152</v>
      </c>
      <c r="C114">
        <v>95128</v>
      </c>
      <c r="D114" t="str">
        <f>"299-01-010"</f>
        <v>299-01-010</v>
      </c>
      <c r="E114" t="s">
        <v>11</v>
      </c>
      <c r="F114" t="s">
        <v>11</v>
      </c>
      <c r="G114">
        <v>65</v>
      </c>
      <c r="H114">
        <v>250</v>
      </c>
      <c r="I114" s="1">
        <v>3.4500851327702202</v>
      </c>
      <c r="J114" s="24" t="s">
        <v>14</v>
      </c>
      <c r="K114" t="s">
        <v>484</v>
      </c>
      <c r="L114" t="s">
        <v>485</v>
      </c>
      <c r="M114" t="s">
        <v>486</v>
      </c>
      <c r="Q114">
        <f>S114</f>
        <v>224</v>
      </c>
      <c r="R114" t="s">
        <v>34</v>
      </c>
      <c r="S114">
        <v>224</v>
      </c>
    </row>
    <row r="115" spans="1:20" x14ac:dyDescent="0.25">
      <c r="A115">
        <v>113</v>
      </c>
      <c r="B115" t="s">
        <v>153</v>
      </c>
      <c r="C115">
        <v>95117</v>
      </c>
      <c r="D115" t="str">
        <f>"299-01-012"</f>
        <v>299-01-012</v>
      </c>
      <c r="E115" t="s">
        <v>11</v>
      </c>
      <c r="F115" t="s">
        <v>11</v>
      </c>
      <c r="G115">
        <v>65</v>
      </c>
      <c r="H115">
        <v>250</v>
      </c>
      <c r="I115" s="1">
        <v>0.29685476520638099</v>
      </c>
      <c r="J115" s="24" t="s">
        <v>12</v>
      </c>
      <c r="K115" t="s">
        <v>484</v>
      </c>
      <c r="L115" t="s">
        <v>485</v>
      </c>
      <c r="M115" t="s">
        <v>486</v>
      </c>
      <c r="P115">
        <f>S115</f>
        <v>50</v>
      </c>
      <c r="R115" t="s">
        <v>25</v>
      </c>
      <c r="S115">
        <v>50</v>
      </c>
    </row>
    <row r="116" spans="1:20" x14ac:dyDescent="0.25">
      <c r="A116">
        <v>114</v>
      </c>
      <c r="B116" t="s">
        <v>154</v>
      </c>
      <c r="C116">
        <v>95129</v>
      </c>
      <c r="D116" t="str">
        <f>"299-13-011"</f>
        <v>299-13-011</v>
      </c>
      <c r="E116" t="s">
        <v>6</v>
      </c>
      <c r="F116" t="s">
        <v>33</v>
      </c>
      <c r="G116">
        <v>0</v>
      </c>
      <c r="H116">
        <v>0</v>
      </c>
      <c r="I116" s="1">
        <v>0.99068883308463795</v>
      </c>
      <c r="J116" s="24" t="s">
        <v>12</v>
      </c>
      <c r="K116" t="s">
        <v>484</v>
      </c>
      <c r="L116" t="s">
        <v>485</v>
      </c>
      <c r="M116" t="s">
        <v>486</v>
      </c>
      <c r="N116" s="2" t="s">
        <v>481</v>
      </c>
      <c r="O116">
        <f>S116</f>
        <v>86</v>
      </c>
      <c r="R116" t="s">
        <v>9</v>
      </c>
      <c r="S116">
        <v>86</v>
      </c>
      <c r="T116" t="s">
        <v>488</v>
      </c>
    </row>
    <row r="117" spans="1:20" x14ac:dyDescent="0.25">
      <c r="A117">
        <v>115</v>
      </c>
      <c r="B117" t="s">
        <v>155</v>
      </c>
      <c r="C117">
        <v>95129</v>
      </c>
      <c r="D117" t="str">
        <f>"299-14-003"</f>
        <v>299-14-003</v>
      </c>
      <c r="E117" t="s">
        <v>6</v>
      </c>
      <c r="F117" t="s">
        <v>33</v>
      </c>
      <c r="G117">
        <v>0</v>
      </c>
      <c r="H117">
        <v>0</v>
      </c>
      <c r="I117" s="1">
        <v>0.66642823870784096</v>
      </c>
      <c r="J117" s="24" t="s">
        <v>12</v>
      </c>
      <c r="K117" t="s">
        <v>484</v>
      </c>
      <c r="L117" t="s">
        <v>485</v>
      </c>
      <c r="M117" t="s">
        <v>486</v>
      </c>
      <c r="N117" s="2" t="s">
        <v>481</v>
      </c>
      <c r="O117">
        <f>S117</f>
        <v>59</v>
      </c>
      <c r="R117" t="s">
        <v>9</v>
      </c>
      <c r="S117">
        <v>59</v>
      </c>
      <c r="T117" t="s">
        <v>488</v>
      </c>
    </row>
    <row r="118" spans="1:20" x14ac:dyDescent="0.25">
      <c r="A118">
        <v>116</v>
      </c>
      <c r="B118" t="s">
        <v>156</v>
      </c>
      <c r="C118">
        <v>95128</v>
      </c>
      <c r="D118" t="str">
        <f>"299-25-035"</f>
        <v>299-25-035</v>
      </c>
      <c r="E118" t="s">
        <v>37</v>
      </c>
      <c r="F118" t="s">
        <v>37</v>
      </c>
      <c r="G118">
        <v>0</v>
      </c>
      <c r="H118">
        <v>75</v>
      </c>
      <c r="I118" s="1">
        <v>8.9130603512127795</v>
      </c>
      <c r="J118" s="24" t="s">
        <v>14</v>
      </c>
      <c r="K118" t="s">
        <v>484</v>
      </c>
      <c r="L118" t="s">
        <v>485</v>
      </c>
      <c r="M118" t="s">
        <v>486</v>
      </c>
      <c r="Q118">
        <f>S118</f>
        <v>480</v>
      </c>
      <c r="R118" t="s">
        <v>34</v>
      </c>
      <c r="S118">
        <v>480</v>
      </c>
    </row>
    <row r="119" spans="1:20" x14ac:dyDescent="0.25">
      <c r="A119">
        <v>117</v>
      </c>
      <c r="B119" t="s">
        <v>157</v>
      </c>
      <c r="C119">
        <v>95117</v>
      </c>
      <c r="D119" t="str">
        <f>"299-25-014"</f>
        <v>299-25-014</v>
      </c>
      <c r="E119" t="s">
        <v>37</v>
      </c>
      <c r="F119" t="s">
        <v>37</v>
      </c>
      <c r="G119">
        <v>0</v>
      </c>
      <c r="H119">
        <v>75</v>
      </c>
      <c r="I119" s="1">
        <v>3.1852624868808701</v>
      </c>
      <c r="J119" s="24" t="s">
        <v>158</v>
      </c>
      <c r="K119" t="s">
        <v>484</v>
      </c>
      <c r="L119" t="s">
        <v>485</v>
      </c>
      <c r="M119" t="s">
        <v>486</v>
      </c>
      <c r="Q119">
        <f>S119</f>
        <v>143</v>
      </c>
      <c r="R119" t="s">
        <v>34</v>
      </c>
      <c r="S119">
        <v>143</v>
      </c>
    </row>
    <row r="120" spans="1:20" x14ac:dyDescent="0.25">
      <c r="A120">
        <v>118</v>
      </c>
      <c r="B120" t="s">
        <v>159</v>
      </c>
      <c r="C120">
        <v>95128</v>
      </c>
      <c r="D120" t="str">
        <f>"299-25-011"</f>
        <v>299-25-011</v>
      </c>
      <c r="E120" t="s">
        <v>37</v>
      </c>
      <c r="F120" t="s">
        <v>37</v>
      </c>
      <c r="G120">
        <v>0</v>
      </c>
      <c r="H120">
        <v>75</v>
      </c>
      <c r="I120" s="1">
        <v>0.84045752357151604</v>
      </c>
      <c r="J120" s="24" t="s">
        <v>158</v>
      </c>
      <c r="K120" t="s">
        <v>484</v>
      </c>
      <c r="L120" t="s">
        <v>485</v>
      </c>
      <c r="M120" t="s">
        <v>486</v>
      </c>
      <c r="N120" s="2" t="s">
        <v>481</v>
      </c>
      <c r="O120">
        <f>S120</f>
        <v>66</v>
      </c>
      <c r="R120" t="s">
        <v>9</v>
      </c>
      <c r="S120">
        <v>66</v>
      </c>
    </row>
    <row r="121" spans="1:20" x14ac:dyDescent="0.25">
      <c r="A121">
        <v>119</v>
      </c>
      <c r="B121" t="s">
        <v>160</v>
      </c>
      <c r="C121">
        <v>95128</v>
      </c>
      <c r="D121" t="str">
        <f>"299-26-060"</f>
        <v>299-26-060</v>
      </c>
      <c r="E121" t="s">
        <v>64</v>
      </c>
      <c r="F121" t="s">
        <v>64</v>
      </c>
      <c r="G121">
        <v>45</v>
      </c>
      <c r="H121">
        <v>95</v>
      </c>
      <c r="I121" s="1">
        <v>0.51719873098268299</v>
      </c>
      <c r="J121" s="24" t="s">
        <v>12</v>
      </c>
      <c r="K121" t="s">
        <v>484</v>
      </c>
      <c r="L121" t="s">
        <v>485</v>
      </c>
      <c r="M121" t="s">
        <v>486</v>
      </c>
      <c r="P121">
        <f>S121</f>
        <v>37</v>
      </c>
      <c r="R121" t="s">
        <v>25</v>
      </c>
      <c r="S121">
        <v>37</v>
      </c>
    </row>
    <row r="122" spans="1:20" x14ac:dyDescent="0.25">
      <c r="A122">
        <v>120</v>
      </c>
      <c r="B122" t="s">
        <v>161</v>
      </c>
      <c r="C122">
        <v>95129</v>
      </c>
      <c r="D122" t="str">
        <f>"299-36-063"</f>
        <v>299-36-063</v>
      </c>
      <c r="E122" t="s">
        <v>6</v>
      </c>
      <c r="F122" t="s">
        <v>33</v>
      </c>
      <c r="G122">
        <v>0</v>
      </c>
      <c r="H122">
        <v>0</v>
      </c>
      <c r="I122" s="1">
        <v>0.86594287277682003</v>
      </c>
      <c r="J122" s="24" t="s">
        <v>12</v>
      </c>
      <c r="K122" t="s">
        <v>484</v>
      </c>
      <c r="L122" t="s">
        <v>485</v>
      </c>
      <c r="M122" t="s">
        <v>486</v>
      </c>
      <c r="N122" s="2" t="s">
        <v>481</v>
      </c>
      <c r="O122">
        <f>S122</f>
        <v>87</v>
      </c>
      <c r="R122" t="s">
        <v>9</v>
      </c>
      <c r="S122">
        <v>87</v>
      </c>
      <c r="T122" t="s">
        <v>488</v>
      </c>
    </row>
    <row r="123" spans="1:20" x14ac:dyDescent="0.25">
      <c r="A123">
        <v>121</v>
      </c>
      <c r="B123" t="s">
        <v>162</v>
      </c>
      <c r="C123">
        <v>95129</v>
      </c>
      <c r="D123" t="str">
        <f>"303-25-031"</f>
        <v>303-25-031</v>
      </c>
      <c r="E123" t="s">
        <v>11</v>
      </c>
      <c r="F123" t="s">
        <v>11</v>
      </c>
      <c r="G123">
        <v>65</v>
      </c>
      <c r="H123">
        <v>250</v>
      </c>
      <c r="I123" s="1">
        <v>0.39002480825706598</v>
      </c>
      <c r="J123" s="24" t="s">
        <v>12</v>
      </c>
      <c r="K123" t="s">
        <v>484</v>
      </c>
      <c r="L123" t="s">
        <v>485</v>
      </c>
      <c r="M123" t="s">
        <v>486</v>
      </c>
      <c r="P123">
        <f>S123</f>
        <v>66</v>
      </c>
      <c r="R123" t="s">
        <v>25</v>
      </c>
      <c r="S123">
        <v>66</v>
      </c>
    </row>
    <row r="124" spans="1:20" x14ac:dyDescent="0.25">
      <c r="A124">
        <v>122</v>
      </c>
      <c r="B124" t="s">
        <v>163</v>
      </c>
      <c r="C124">
        <v>95117</v>
      </c>
      <c r="D124" t="str">
        <f>"303-25-032"</f>
        <v>303-25-032</v>
      </c>
      <c r="E124" t="s">
        <v>11</v>
      </c>
      <c r="F124" t="s">
        <v>11</v>
      </c>
      <c r="G124">
        <v>65</v>
      </c>
      <c r="H124">
        <v>250</v>
      </c>
      <c r="I124" s="1">
        <v>0.708548988109445</v>
      </c>
      <c r="J124" s="24" t="s">
        <v>12</v>
      </c>
      <c r="K124" t="s">
        <v>484</v>
      </c>
      <c r="L124" t="s">
        <v>485</v>
      </c>
      <c r="M124" t="s">
        <v>486</v>
      </c>
      <c r="P124">
        <f>S124</f>
        <v>56</v>
      </c>
      <c r="R124" t="s">
        <v>25</v>
      </c>
      <c r="S124">
        <v>56</v>
      </c>
    </row>
    <row r="125" spans="1:20" x14ac:dyDescent="0.25">
      <c r="A125">
        <v>123</v>
      </c>
      <c r="B125" t="s">
        <v>164</v>
      </c>
      <c r="C125">
        <v>95117</v>
      </c>
      <c r="D125" t="str">
        <f>"303-25-046"</f>
        <v>303-25-046</v>
      </c>
      <c r="E125" t="s">
        <v>11</v>
      </c>
      <c r="F125" t="s">
        <v>11</v>
      </c>
      <c r="G125">
        <v>65</v>
      </c>
      <c r="H125">
        <v>250</v>
      </c>
      <c r="I125" s="1">
        <v>0.25613701832143398</v>
      </c>
      <c r="J125" s="24" t="s">
        <v>12</v>
      </c>
      <c r="K125" t="s">
        <v>484</v>
      </c>
      <c r="L125" t="s">
        <v>485</v>
      </c>
      <c r="M125" t="s">
        <v>486</v>
      </c>
      <c r="P125">
        <f>S125</f>
        <v>43</v>
      </c>
      <c r="R125" t="s">
        <v>25</v>
      </c>
      <c r="S125">
        <v>43</v>
      </c>
    </row>
    <row r="126" spans="1:20" x14ac:dyDescent="0.25">
      <c r="A126">
        <v>124</v>
      </c>
      <c r="B126" t="s">
        <v>165</v>
      </c>
      <c r="C126">
        <v>95117</v>
      </c>
      <c r="D126" t="str">
        <f>"303-25-047"</f>
        <v>303-25-047</v>
      </c>
      <c r="E126" t="s">
        <v>11</v>
      </c>
      <c r="F126" t="s">
        <v>11</v>
      </c>
      <c r="G126">
        <v>65</v>
      </c>
      <c r="H126">
        <v>250</v>
      </c>
      <c r="I126" s="1">
        <v>0.23613847663972801</v>
      </c>
      <c r="J126" s="24" t="s">
        <v>12</v>
      </c>
      <c r="K126" t="s">
        <v>484</v>
      </c>
      <c r="L126" t="s">
        <v>485</v>
      </c>
      <c r="M126" t="s">
        <v>486</v>
      </c>
      <c r="P126">
        <f>S126</f>
        <v>36</v>
      </c>
      <c r="R126" t="s">
        <v>25</v>
      </c>
      <c r="S126">
        <v>36</v>
      </c>
    </row>
    <row r="127" spans="1:20" x14ac:dyDescent="0.25">
      <c r="A127">
        <v>125</v>
      </c>
      <c r="B127" t="s">
        <v>166</v>
      </c>
      <c r="C127">
        <v>95129</v>
      </c>
      <c r="D127" t="str">
        <f>"303-25-048"</f>
        <v>303-25-048</v>
      </c>
      <c r="E127" t="s">
        <v>11</v>
      </c>
      <c r="F127" t="s">
        <v>11</v>
      </c>
      <c r="G127">
        <v>65</v>
      </c>
      <c r="H127">
        <v>250</v>
      </c>
      <c r="I127" s="1">
        <v>0.64942073428148805</v>
      </c>
      <c r="J127" s="24" t="s">
        <v>48</v>
      </c>
      <c r="K127" t="s">
        <v>484</v>
      </c>
      <c r="L127" t="s">
        <v>485</v>
      </c>
      <c r="M127" t="s">
        <v>486</v>
      </c>
      <c r="N127" s="2" t="s">
        <v>481</v>
      </c>
      <c r="O127">
        <f>S127</f>
        <v>67</v>
      </c>
      <c r="R127" t="s">
        <v>9</v>
      </c>
      <c r="S127">
        <v>67</v>
      </c>
      <c r="T127" t="s">
        <v>488</v>
      </c>
    </row>
    <row r="128" spans="1:20" x14ac:dyDescent="0.25">
      <c r="A128">
        <v>126</v>
      </c>
      <c r="B128" t="s">
        <v>167</v>
      </c>
      <c r="C128">
        <v>95129</v>
      </c>
      <c r="D128" t="str">
        <f>"303-25-053"</f>
        <v>303-25-053</v>
      </c>
      <c r="E128" t="s">
        <v>11</v>
      </c>
      <c r="F128" t="s">
        <v>11</v>
      </c>
      <c r="G128">
        <v>65</v>
      </c>
      <c r="H128">
        <v>250</v>
      </c>
      <c r="I128" s="1">
        <v>2.2419838325132999</v>
      </c>
      <c r="J128" s="24" t="s">
        <v>12</v>
      </c>
      <c r="K128" t="s">
        <v>484</v>
      </c>
      <c r="L128" t="s">
        <v>485</v>
      </c>
      <c r="M128" t="s">
        <v>486</v>
      </c>
      <c r="Q128">
        <f>S128</f>
        <v>146</v>
      </c>
      <c r="R128" t="s">
        <v>34</v>
      </c>
      <c r="S128">
        <v>146</v>
      </c>
    </row>
    <row r="129" spans="1:19" x14ac:dyDescent="0.25">
      <c r="A129">
        <v>127</v>
      </c>
      <c r="B129" t="s">
        <v>168</v>
      </c>
      <c r="C129">
        <v>95117</v>
      </c>
      <c r="D129" t="str">
        <f>"303-26-031"</f>
        <v>303-26-031</v>
      </c>
      <c r="E129" t="s">
        <v>11</v>
      </c>
      <c r="F129" t="s">
        <v>11</v>
      </c>
      <c r="G129">
        <v>65</v>
      </c>
      <c r="H129">
        <v>250</v>
      </c>
      <c r="I129" s="1">
        <v>0.270415328754818</v>
      </c>
      <c r="J129" s="24" t="s">
        <v>12</v>
      </c>
      <c r="K129" t="s">
        <v>484</v>
      </c>
      <c r="L129" t="s">
        <v>485</v>
      </c>
      <c r="M129" t="s">
        <v>486</v>
      </c>
      <c r="P129">
        <f>S129</f>
        <v>48</v>
      </c>
      <c r="R129" t="s">
        <v>25</v>
      </c>
      <c r="S129">
        <v>48</v>
      </c>
    </row>
    <row r="130" spans="1:19" x14ac:dyDescent="0.25">
      <c r="A130">
        <v>128</v>
      </c>
      <c r="B130" t="s">
        <v>169</v>
      </c>
      <c r="C130">
        <v>95117</v>
      </c>
      <c r="D130" t="str">
        <f>"303-26-008"</f>
        <v>303-26-008</v>
      </c>
      <c r="E130" t="s">
        <v>11</v>
      </c>
      <c r="F130" t="s">
        <v>11</v>
      </c>
      <c r="G130">
        <v>65</v>
      </c>
      <c r="H130">
        <v>250</v>
      </c>
      <c r="I130" s="1">
        <v>0.30107683647320299</v>
      </c>
      <c r="J130" s="24" t="s">
        <v>12</v>
      </c>
      <c r="K130" t="s">
        <v>484</v>
      </c>
      <c r="L130" t="s">
        <v>485</v>
      </c>
      <c r="M130" t="s">
        <v>486</v>
      </c>
      <c r="P130">
        <f>S130</f>
        <v>46</v>
      </c>
      <c r="R130" t="s">
        <v>25</v>
      </c>
      <c r="S130">
        <v>46</v>
      </c>
    </row>
    <row r="131" spans="1:19" x14ac:dyDescent="0.25">
      <c r="A131">
        <v>129</v>
      </c>
      <c r="B131" t="s">
        <v>170</v>
      </c>
      <c r="C131">
        <v>95117</v>
      </c>
      <c r="D131" t="str">
        <f>"303-26-058"</f>
        <v>303-26-058</v>
      </c>
      <c r="E131" t="s">
        <v>11</v>
      </c>
      <c r="F131" t="s">
        <v>11</v>
      </c>
      <c r="G131">
        <v>65</v>
      </c>
      <c r="H131">
        <v>250</v>
      </c>
      <c r="I131" s="1">
        <v>0.32548327048381898</v>
      </c>
      <c r="J131" s="24" t="s">
        <v>12</v>
      </c>
      <c r="K131" t="s">
        <v>484</v>
      </c>
      <c r="L131" t="s">
        <v>485</v>
      </c>
      <c r="M131" t="s">
        <v>486</v>
      </c>
      <c r="P131">
        <f>S131</f>
        <v>57</v>
      </c>
      <c r="R131" t="s">
        <v>25</v>
      </c>
      <c r="S131">
        <v>57</v>
      </c>
    </row>
    <row r="132" spans="1:19" x14ac:dyDescent="0.25">
      <c r="A132">
        <v>130</v>
      </c>
      <c r="B132" t="s">
        <v>171</v>
      </c>
      <c r="C132">
        <v>95117</v>
      </c>
      <c r="D132" t="str">
        <f>"303-26-059"</f>
        <v>303-26-059</v>
      </c>
      <c r="E132" t="s">
        <v>11</v>
      </c>
      <c r="F132" t="s">
        <v>11</v>
      </c>
      <c r="G132">
        <v>65</v>
      </c>
      <c r="H132">
        <v>250</v>
      </c>
      <c r="I132" s="1">
        <v>0.32624606607887502</v>
      </c>
      <c r="J132" s="24" t="s">
        <v>12</v>
      </c>
      <c r="K132" t="s">
        <v>484</v>
      </c>
      <c r="L132" t="s">
        <v>485</v>
      </c>
      <c r="M132" t="s">
        <v>486</v>
      </c>
      <c r="P132">
        <f>S132</f>
        <v>50</v>
      </c>
      <c r="R132" t="s">
        <v>25</v>
      </c>
      <c r="S132">
        <v>50</v>
      </c>
    </row>
    <row r="133" spans="1:19" x14ac:dyDescent="0.25">
      <c r="A133">
        <v>131</v>
      </c>
      <c r="B133" t="s">
        <v>172</v>
      </c>
      <c r="C133">
        <v>95117</v>
      </c>
      <c r="D133" t="str">
        <f>"303-29-001"</f>
        <v>303-29-001</v>
      </c>
      <c r="E133" t="s">
        <v>11</v>
      </c>
      <c r="F133" t="s">
        <v>11</v>
      </c>
      <c r="G133">
        <v>65</v>
      </c>
      <c r="H133">
        <v>250</v>
      </c>
      <c r="I133" s="1">
        <v>4.6251503640253997</v>
      </c>
      <c r="J133" s="24" t="s">
        <v>12</v>
      </c>
      <c r="K133" t="s">
        <v>484</v>
      </c>
      <c r="L133" t="s">
        <v>485</v>
      </c>
      <c r="M133" t="s">
        <v>486</v>
      </c>
      <c r="Q133">
        <f>S133</f>
        <v>301</v>
      </c>
      <c r="R133" t="s">
        <v>34</v>
      </c>
      <c r="S133">
        <v>301</v>
      </c>
    </row>
    <row r="134" spans="1:19" x14ac:dyDescent="0.25">
      <c r="A134">
        <v>132</v>
      </c>
      <c r="B134" t="s">
        <v>173</v>
      </c>
      <c r="C134">
        <v>95117</v>
      </c>
      <c r="D134" t="str">
        <f>"303-29-003"</f>
        <v>303-29-003</v>
      </c>
      <c r="E134" t="s">
        <v>37</v>
      </c>
      <c r="F134" t="s">
        <v>37</v>
      </c>
      <c r="G134">
        <v>0</v>
      </c>
      <c r="H134">
        <v>75</v>
      </c>
      <c r="I134" s="1">
        <v>1.5042414242475499</v>
      </c>
      <c r="J134" s="24" t="s">
        <v>14</v>
      </c>
      <c r="K134" t="s">
        <v>484</v>
      </c>
      <c r="L134" t="s">
        <v>485</v>
      </c>
      <c r="M134" t="s">
        <v>486</v>
      </c>
      <c r="N134" s="2" t="s">
        <v>481</v>
      </c>
      <c r="O134">
        <f>S134</f>
        <v>86</v>
      </c>
      <c r="R134" t="s">
        <v>9</v>
      </c>
      <c r="S134">
        <v>86</v>
      </c>
    </row>
    <row r="135" spans="1:19" x14ac:dyDescent="0.25">
      <c r="A135">
        <v>133</v>
      </c>
      <c r="B135" t="s">
        <v>174</v>
      </c>
      <c r="C135">
        <v>95117</v>
      </c>
      <c r="D135" t="str">
        <f>"303-29-023"</f>
        <v>303-29-023</v>
      </c>
      <c r="E135" t="s">
        <v>37</v>
      </c>
      <c r="F135" t="s">
        <v>37</v>
      </c>
      <c r="G135">
        <v>0</v>
      </c>
      <c r="H135">
        <v>75</v>
      </c>
      <c r="I135" s="1">
        <v>2.1722223518644599</v>
      </c>
      <c r="J135" s="24" t="s">
        <v>12</v>
      </c>
      <c r="K135" t="s">
        <v>484</v>
      </c>
      <c r="L135" t="s">
        <v>485</v>
      </c>
      <c r="M135" t="s">
        <v>486</v>
      </c>
      <c r="Q135">
        <f>S135</f>
        <v>204</v>
      </c>
      <c r="R135" t="s">
        <v>34</v>
      </c>
      <c r="S135">
        <v>204</v>
      </c>
    </row>
    <row r="136" spans="1:19" x14ac:dyDescent="0.25">
      <c r="A136">
        <v>134</v>
      </c>
      <c r="B136" t="s">
        <v>175</v>
      </c>
      <c r="C136">
        <v>95117</v>
      </c>
      <c r="D136" t="str">
        <f>"303-33-069"</f>
        <v>303-33-069</v>
      </c>
      <c r="E136" t="s">
        <v>37</v>
      </c>
      <c r="F136" t="s">
        <v>37</v>
      </c>
      <c r="G136">
        <v>0</v>
      </c>
      <c r="H136">
        <v>75</v>
      </c>
      <c r="I136" s="1">
        <v>0.849187148630278</v>
      </c>
      <c r="J136" s="24" t="s">
        <v>14</v>
      </c>
      <c r="K136" t="s">
        <v>484</v>
      </c>
      <c r="L136" t="s">
        <v>485</v>
      </c>
      <c r="M136" t="s">
        <v>486</v>
      </c>
      <c r="N136" s="2" t="s">
        <v>481</v>
      </c>
      <c r="O136">
        <f>S136</f>
        <v>64</v>
      </c>
      <c r="R136" t="s">
        <v>9</v>
      </c>
      <c r="S136">
        <v>64</v>
      </c>
    </row>
    <row r="137" spans="1:19" x14ac:dyDescent="0.25">
      <c r="A137">
        <v>135</v>
      </c>
      <c r="B137" t="s">
        <v>176</v>
      </c>
      <c r="C137">
        <v>95117</v>
      </c>
      <c r="D137" t="str">
        <f>"303-37-126"</f>
        <v>303-37-126</v>
      </c>
      <c r="E137" t="s">
        <v>37</v>
      </c>
      <c r="F137" t="s">
        <v>37</v>
      </c>
      <c r="G137">
        <v>0</v>
      </c>
      <c r="H137">
        <v>50</v>
      </c>
      <c r="I137" s="1">
        <v>0.63951072373518203</v>
      </c>
      <c r="J137" s="24" t="s">
        <v>14</v>
      </c>
      <c r="K137" t="s">
        <v>484</v>
      </c>
      <c r="L137" t="s">
        <v>485</v>
      </c>
      <c r="M137" t="s">
        <v>486</v>
      </c>
      <c r="N137" s="2" t="s">
        <v>481</v>
      </c>
      <c r="O137">
        <f>S137</f>
        <v>66</v>
      </c>
      <c r="R137" t="s">
        <v>9</v>
      </c>
      <c r="S137">
        <v>66</v>
      </c>
    </row>
    <row r="138" spans="1:19" x14ac:dyDescent="0.25">
      <c r="A138">
        <v>136</v>
      </c>
      <c r="B138" t="s">
        <v>177</v>
      </c>
      <c r="C138">
        <v>95117</v>
      </c>
      <c r="D138" t="str">
        <f>"303-39-048"</f>
        <v>303-39-048</v>
      </c>
      <c r="E138" t="s">
        <v>37</v>
      </c>
      <c r="F138" t="s">
        <v>37</v>
      </c>
      <c r="G138">
        <v>0</v>
      </c>
      <c r="H138">
        <v>75</v>
      </c>
      <c r="I138" s="1">
        <v>0.76825201820242095</v>
      </c>
      <c r="J138" s="24" t="s">
        <v>12</v>
      </c>
      <c r="K138" t="s">
        <v>484</v>
      </c>
      <c r="L138" t="s">
        <v>485</v>
      </c>
      <c r="M138" t="s">
        <v>486</v>
      </c>
      <c r="N138" s="2" t="s">
        <v>481</v>
      </c>
      <c r="O138">
        <f>S138</f>
        <v>77</v>
      </c>
      <c r="R138" t="s">
        <v>9</v>
      </c>
      <c r="S138">
        <v>77</v>
      </c>
    </row>
    <row r="139" spans="1:19" x14ac:dyDescent="0.25">
      <c r="A139">
        <v>137</v>
      </c>
      <c r="B139" t="s">
        <v>178</v>
      </c>
      <c r="C139">
        <v>95117</v>
      </c>
      <c r="D139" t="str">
        <f>"303-39-049"</f>
        <v>303-39-049</v>
      </c>
      <c r="E139" t="s">
        <v>37</v>
      </c>
      <c r="F139" t="s">
        <v>37</v>
      </c>
      <c r="G139">
        <v>0</v>
      </c>
      <c r="H139">
        <v>50</v>
      </c>
      <c r="I139" s="1">
        <v>0.70156153205724803</v>
      </c>
      <c r="J139" s="24" t="s">
        <v>12</v>
      </c>
      <c r="K139" t="s">
        <v>484</v>
      </c>
      <c r="L139" t="s">
        <v>485</v>
      </c>
      <c r="M139" t="s">
        <v>486</v>
      </c>
      <c r="Q139">
        <f>S139</f>
        <v>70</v>
      </c>
      <c r="R139" t="s">
        <v>34</v>
      </c>
      <c r="S139">
        <v>70</v>
      </c>
    </row>
    <row r="140" spans="1:19" x14ac:dyDescent="0.25">
      <c r="A140">
        <v>138</v>
      </c>
      <c r="B140" t="s">
        <v>94</v>
      </c>
      <c r="C140">
        <v>95117</v>
      </c>
      <c r="D140" t="str">
        <f>"303-40-016"</f>
        <v>303-40-016</v>
      </c>
      <c r="E140" t="s">
        <v>11</v>
      </c>
      <c r="F140" t="s">
        <v>11</v>
      </c>
      <c r="G140">
        <v>65</v>
      </c>
      <c r="H140">
        <v>250</v>
      </c>
      <c r="I140" s="1">
        <v>1.99991943799532</v>
      </c>
      <c r="J140" s="24" t="s">
        <v>12</v>
      </c>
      <c r="K140" t="s">
        <v>484</v>
      </c>
      <c r="L140" t="s">
        <v>485</v>
      </c>
      <c r="M140" t="s">
        <v>486</v>
      </c>
      <c r="Q140">
        <f>S140</f>
        <v>133</v>
      </c>
      <c r="R140" t="s">
        <v>34</v>
      </c>
      <c r="S140">
        <v>133</v>
      </c>
    </row>
    <row r="141" spans="1:19" x14ac:dyDescent="0.25">
      <c r="A141">
        <v>139</v>
      </c>
      <c r="B141" t="s">
        <v>179</v>
      </c>
      <c r="C141">
        <v>95117</v>
      </c>
      <c r="D141" t="str">
        <f>"303-41-016"</f>
        <v>303-41-016</v>
      </c>
      <c r="E141" t="s">
        <v>37</v>
      </c>
      <c r="F141" t="s">
        <v>37</v>
      </c>
      <c r="G141">
        <v>0</v>
      </c>
      <c r="H141">
        <v>75</v>
      </c>
      <c r="I141" s="1">
        <v>0.75207391125440104</v>
      </c>
      <c r="J141" s="24" t="s">
        <v>12</v>
      </c>
      <c r="K141" t="s">
        <v>484</v>
      </c>
      <c r="L141" t="s">
        <v>485</v>
      </c>
      <c r="M141" t="s">
        <v>486</v>
      </c>
      <c r="N141" s="2" t="s">
        <v>481</v>
      </c>
      <c r="O141">
        <f>S141</f>
        <v>65</v>
      </c>
      <c r="R141" t="s">
        <v>9</v>
      </c>
      <c r="S141">
        <v>65</v>
      </c>
    </row>
    <row r="142" spans="1:19" x14ac:dyDescent="0.25">
      <c r="A142">
        <v>140</v>
      </c>
      <c r="B142" t="s">
        <v>180</v>
      </c>
      <c r="C142">
        <v>95128</v>
      </c>
      <c r="D142" t="str">
        <f>"305-02-034"</f>
        <v>305-02-034</v>
      </c>
      <c r="E142" t="s">
        <v>64</v>
      </c>
      <c r="F142" t="s">
        <v>64</v>
      </c>
      <c r="G142">
        <v>45</v>
      </c>
      <c r="H142">
        <v>95</v>
      </c>
      <c r="I142" s="1">
        <v>0.52796022871071802</v>
      </c>
      <c r="J142" s="24" t="s">
        <v>12</v>
      </c>
      <c r="K142" t="s">
        <v>484</v>
      </c>
      <c r="L142" t="s">
        <v>485</v>
      </c>
      <c r="M142" t="s">
        <v>486</v>
      </c>
      <c r="P142">
        <f>S142</f>
        <v>49</v>
      </c>
      <c r="R142" t="s">
        <v>25</v>
      </c>
      <c r="S142">
        <v>49</v>
      </c>
    </row>
    <row r="143" spans="1:19" x14ac:dyDescent="0.25">
      <c r="A143">
        <v>141</v>
      </c>
      <c r="B143" t="s">
        <v>181</v>
      </c>
      <c r="C143">
        <v>95128</v>
      </c>
      <c r="D143" t="str">
        <f>"305-03-045"</f>
        <v>305-03-045</v>
      </c>
      <c r="E143" t="s">
        <v>64</v>
      </c>
      <c r="F143" t="s">
        <v>64</v>
      </c>
      <c r="G143">
        <v>45</v>
      </c>
      <c r="H143">
        <v>95</v>
      </c>
      <c r="I143" s="1">
        <v>0.50308038644642805</v>
      </c>
      <c r="J143" s="24" t="s">
        <v>12</v>
      </c>
      <c r="K143" t="s">
        <v>484</v>
      </c>
      <c r="L143" t="s">
        <v>485</v>
      </c>
      <c r="M143" t="s">
        <v>486</v>
      </c>
      <c r="P143">
        <f>S143</f>
        <v>24</v>
      </c>
      <c r="R143" t="s">
        <v>25</v>
      </c>
      <c r="S143">
        <v>24</v>
      </c>
    </row>
    <row r="144" spans="1:19" x14ac:dyDescent="0.25">
      <c r="A144">
        <v>142</v>
      </c>
      <c r="B144" t="s">
        <v>182</v>
      </c>
      <c r="C144">
        <v>95128</v>
      </c>
      <c r="D144" t="str">
        <f>"305-03-014"</f>
        <v>305-03-014</v>
      </c>
      <c r="E144" t="s">
        <v>64</v>
      </c>
      <c r="F144" t="s">
        <v>64</v>
      </c>
      <c r="G144">
        <v>45</v>
      </c>
      <c r="H144">
        <v>95</v>
      </c>
      <c r="I144" s="1">
        <v>0.91382814478137397</v>
      </c>
      <c r="J144" s="24" t="s">
        <v>12</v>
      </c>
      <c r="K144" t="s">
        <v>484</v>
      </c>
      <c r="L144" t="s">
        <v>485</v>
      </c>
      <c r="M144" t="s">
        <v>486</v>
      </c>
      <c r="N144" s="2" t="s">
        <v>481</v>
      </c>
      <c r="O144">
        <f>S144</f>
        <v>55</v>
      </c>
      <c r="R144" t="s">
        <v>9</v>
      </c>
      <c r="S144">
        <v>55</v>
      </c>
    </row>
    <row r="145" spans="1:20" x14ac:dyDescent="0.25">
      <c r="A145">
        <v>143</v>
      </c>
      <c r="B145" t="s">
        <v>183</v>
      </c>
      <c r="C145">
        <v>95130</v>
      </c>
      <c r="D145" t="str">
        <f>"307-05-066"</f>
        <v>307-05-066</v>
      </c>
      <c r="E145" t="s">
        <v>6</v>
      </c>
      <c r="F145" t="s">
        <v>33</v>
      </c>
      <c r="G145">
        <v>0</v>
      </c>
      <c r="H145">
        <v>0</v>
      </c>
      <c r="I145" s="1">
        <v>0.79970888714375798</v>
      </c>
      <c r="J145" s="24" t="s">
        <v>14</v>
      </c>
      <c r="K145" t="s">
        <v>484</v>
      </c>
      <c r="L145" t="s">
        <v>485</v>
      </c>
      <c r="M145" t="s">
        <v>486</v>
      </c>
      <c r="N145" s="2" t="s">
        <v>481</v>
      </c>
      <c r="O145">
        <f>S145</f>
        <v>73</v>
      </c>
      <c r="R145" t="s">
        <v>9</v>
      </c>
      <c r="S145">
        <v>73</v>
      </c>
      <c r="T145" t="s">
        <v>488</v>
      </c>
    </row>
    <row r="146" spans="1:20" x14ac:dyDescent="0.25">
      <c r="A146">
        <v>144</v>
      </c>
      <c r="B146" t="s">
        <v>184</v>
      </c>
      <c r="C146">
        <v>95129</v>
      </c>
      <c r="D146" t="str">
        <f>"307-05-067"</f>
        <v>307-05-067</v>
      </c>
      <c r="E146" t="s">
        <v>6</v>
      </c>
      <c r="F146" t="s">
        <v>33</v>
      </c>
      <c r="G146">
        <v>0</v>
      </c>
      <c r="H146">
        <v>0</v>
      </c>
      <c r="I146" s="1">
        <v>0.50781734068945195</v>
      </c>
      <c r="J146" s="24" t="s">
        <v>14</v>
      </c>
      <c r="K146" t="s">
        <v>484</v>
      </c>
      <c r="L146" t="s">
        <v>485</v>
      </c>
      <c r="M146" t="s">
        <v>486</v>
      </c>
      <c r="N146" s="2" t="s">
        <v>481</v>
      </c>
      <c r="O146">
        <f>S146</f>
        <v>53</v>
      </c>
      <c r="R146" t="s">
        <v>9</v>
      </c>
      <c r="S146">
        <v>53</v>
      </c>
      <c r="T146" t="s">
        <v>488</v>
      </c>
    </row>
    <row r="147" spans="1:20" x14ac:dyDescent="0.25">
      <c r="A147">
        <v>145</v>
      </c>
      <c r="B147" t="s">
        <v>185</v>
      </c>
      <c r="C147">
        <v>95129</v>
      </c>
      <c r="D147" t="str">
        <f>"359-27-026"</f>
        <v>359-27-026</v>
      </c>
      <c r="E147" t="s">
        <v>6</v>
      </c>
      <c r="F147" t="s">
        <v>84</v>
      </c>
      <c r="G147">
        <v>0</v>
      </c>
      <c r="H147">
        <v>0</v>
      </c>
      <c r="I147" s="1">
        <v>0.59026797693942501</v>
      </c>
      <c r="J147" s="24" t="s">
        <v>14</v>
      </c>
      <c r="K147" t="s">
        <v>484</v>
      </c>
      <c r="L147" t="s">
        <v>485</v>
      </c>
      <c r="M147" t="s">
        <v>486</v>
      </c>
      <c r="N147" s="2" t="s">
        <v>481</v>
      </c>
      <c r="O147">
        <f>S147</f>
        <v>62</v>
      </c>
      <c r="R147" t="s">
        <v>9</v>
      </c>
      <c r="S147">
        <v>62</v>
      </c>
      <c r="T147" t="s">
        <v>488</v>
      </c>
    </row>
    <row r="148" spans="1:20" x14ac:dyDescent="0.25">
      <c r="A148">
        <v>146</v>
      </c>
      <c r="B148" t="s">
        <v>186</v>
      </c>
      <c r="C148">
        <v>95129</v>
      </c>
      <c r="D148" t="str">
        <f>"359-27-028"</f>
        <v>359-27-028</v>
      </c>
      <c r="E148" t="s">
        <v>6</v>
      </c>
      <c r="F148" t="s">
        <v>33</v>
      </c>
      <c r="G148">
        <v>0</v>
      </c>
      <c r="H148">
        <v>0</v>
      </c>
      <c r="I148" s="1">
        <v>0.82612465417561698</v>
      </c>
      <c r="J148" s="24" t="s">
        <v>14</v>
      </c>
      <c r="K148" t="s">
        <v>484</v>
      </c>
      <c r="L148" t="s">
        <v>485</v>
      </c>
      <c r="M148" t="s">
        <v>486</v>
      </c>
      <c r="N148" s="2" t="s">
        <v>481</v>
      </c>
      <c r="O148">
        <f>S148</f>
        <v>87</v>
      </c>
      <c r="R148" t="s">
        <v>9</v>
      </c>
      <c r="S148">
        <v>87</v>
      </c>
      <c r="T148" t="s">
        <v>488</v>
      </c>
    </row>
    <row r="149" spans="1:20" x14ac:dyDescent="0.25">
      <c r="A149">
        <v>147</v>
      </c>
      <c r="B149" t="s">
        <v>187</v>
      </c>
      <c r="C149">
        <v>95129</v>
      </c>
      <c r="D149" t="str">
        <f>"359-34-002"</f>
        <v>359-34-002</v>
      </c>
      <c r="E149" t="s">
        <v>6</v>
      </c>
      <c r="F149" t="s">
        <v>33</v>
      </c>
      <c r="G149">
        <v>0</v>
      </c>
      <c r="H149">
        <v>0</v>
      </c>
      <c r="I149" s="1">
        <v>0.92067639769626797</v>
      </c>
      <c r="J149" s="24" t="s">
        <v>12</v>
      </c>
      <c r="K149" t="s">
        <v>484</v>
      </c>
      <c r="L149" t="s">
        <v>485</v>
      </c>
      <c r="M149" t="s">
        <v>486</v>
      </c>
      <c r="N149" s="2" t="s">
        <v>481</v>
      </c>
      <c r="O149">
        <f>S149</f>
        <v>80</v>
      </c>
      <c r="R149" t="s">
        <v>9</v>
      </c>
      <c r="S149">
        <v>80</v>
      </c>
      <c r="T149" t="s">
        <v>488</v>
      </c>
    </row>
    <row r="150" spans="1:20" x14ac:dyDescent="0.25">
      <c r="A150">
        <v>148</v>
      </c>
      <c r="B150" t="s">
        <v>188</v>
      </c>
      <c r="C150">
        <v>95129</v>
      </c>
      <c r="D150" t="str">
        <f>"372-20-025"</f>
        <v>372-20-025</v>
      </c>
      <c r="E150" t="s">
        <v>6</v>
      </c>
      <c r="F150" t="s">
        <v>33</v>
      </c>
      <c r="G150">
        <v>0</v>
      </c>
      <c r="H150">
        <v>0</v>
      </c>
      <c r="I150" s="1">
        <v>1.1718771892997899</v>
      </c>
      <c r="J150" s="24" t="s">
        <v>14</v>
      </c>
      <c r="K150" t="s">
        <v>484</v>
      </c>
      <c r="L150" t="s">
        <v>485</v>
      </c>
      <c r="M150" t="s">
        <v>486</v>
      </c>
      <c r="N150" s="2" t="s">
        <v>481</v>
      </c>
      <c r="O150">
        <f>S150</f>
        <v>89</v>
      </c>
      <c r="R150" t="s">
        <v>9</v>
      </c>
      <c r="S150">
        <v>89</v>
      </c>
      <c r="T150" s="3" t="s">
        <v>487</v>
      </c>
    </row>
    <row r="151" spans="1:20" x14ac:dyDescent="0.25">
      <c r="A151">
        <v>149</v>
      </c>
      <c r="B151" t="s">
        <v>189</v>
      </c>
      <c r="C151">
        <v>95129</v>
      </c>
      <c r="D151" t="str">
        <f>"372-24-027"</f>
        <v>372-24-027</v>
      </c>
      <c r="E151" t="s">
        <v>6</v>
      </c>
      <c r="F151" t="s">
        <v>33</v>
      </c>
      <c r="G151">
        <v>0</v>
      </c>
      <c r="H151">
        <v>0</v>
      </c>
      <c r="I151" s="1">
        <v>0.54539956634175302</v>
      </c>
      <c r="J151" s="24" t="s">
        <v>14</v>
      </c>
      <c r="K151" t="s">
        <v>484</v>
      </c>
      <c r="L151" t="s">
        <v>485</v>
      </c>
      <c r="M151" t="s">
        <v>486</v>
      </c>
      <c r="N151" s="2" t="s">
        <v>481</v>
      </c>
      <c r="O151">
        <f>S151</f>
        <v>50</v>
      </c>
      <c r="R151" t="s">
        <v>9</v>
      </c>
      <c r="S151">
        <v>50</v>
      </c>
      <c r="T151" t="s">
        <v>488</v>
      </c>
    </row>
    <row r="152" spans="1:20" x14ac:dyDescent="0.25">
      <c r="A152">
        <v>150</v>
      </c>
      <c r="B152" t="s">
        <v>190</v>
      </c>
      <c r="C152">
        <v>95129</v>
      </c>
      <c r="D152" t="str">
        <f>"372-24-006"</f>
        <v>372-24-006</v>
      </c>
      <c r="E152" t="s">
        <v>6</v>
      </c>
      <c r="F152" t="s">
        <v>33</v>
      </c>
      <c r="G152">
        <v>0</v>
      </c>
      <c r="H152">
        <v>0</v>
      </c>
      <c r="I152" s="1">
        <v>0.62633562504309603</v>
      </c>
      <c r="J152" s="24" t="s">
        <v>14</v>
      </c>
      <c r="K152" t="s">
        <v>484</v>
      </c>
      <c r="L152" t="s">
        <v>485</v>
      </c>
      <c r="M152" t="s">
        <v>486</v>
      </c>
      <c r="N152" s="2" t="s">
        <v>481</v>
      </c>
      <c r="O152">
        <f>S152</f>
        <v>57</v>
      </c>
      <c r="R152" t="s">
        <v>9</v>
      </c>
      <c r="S152">
        <v>57</v>
      </c>
      <c r="T152" t="s">
        <v>488</v>
      </c>
    </row>
    <row r="153" spans="1:20" x14ac:dyDescent="0.25">
      <c r="A153">
        <v>151</v>
      </c>
      <c r="B153" t="s">
        <v>191</v>
      </c>
      <c r="C153">
        <v>95129</v>
      </c>
      <c r="D153" t="str">
        <f>"372-25-021"</f>
        <v>372-25-021</v>
      </c>
      <c r="E153" t="s">
        <v>6</v>
      </c>
      <c r="F153" t="s">
        <v>33</v>
      </c>
      <c r="G153">
        <v>0</v>
      </c>
      <c r="H153">
        <v>0</v>
      </c>
      <c r="I153" s="1">
        <v>1.09379790982602</v>
      </c>
      <c r="J153" s="24" t="s">
        <v>12</v>
      </c>
      <c r="K153" t="s">
        <v>484</v>
      </c>
      <c r="L153" t="s">
        <v>485</v>
      </c>
      <c r="M153" t="s">
        <v>486</v>
      </c>
      <c r="N153" s="2" t="s">
        <v>481</v>
      </c>
      <c r="O153">
        <f>S153</f>
        <v>99</v>
      </c>
      <c r="R153" t="s">
        <v>9</v>
      </c>
      <c r="S153">
        <v>99</v>
      </c>
      <c r="T153" t="s">
        <v>488</v>
      </c>
    </row>
    <row r="154" spans="1:20" x14ac:dyDescent="0.25">
      <c r="A154">
        <v>152</v>
      </c>
      <c r="B154" t="s">
        <v>192</v>
      </c>
      <c r="C154">
        <v>95129</v>
      </c>
      <c r="D154" t="str">
        <f>"372-26-021"</f>
        <v>372-26-021</v>
      </c>
      <c r="E154" t="s">
        <v>6</v>
      </c>
      <c r="F154" t="s">
        <v>33</v>
      </c>
      <c r="G154">
        <v>0</v>
      </c>
      <c r="H154">
        <v>0</v>
      </c>
      <c r="I154" s="1">
        <v>0.66698223889584796</v>
      </c>
      <c r="J154" s="24" t="s">
        <v>12</v>
      </c>
      <c r="K154" t="s">
        <v>484</v>
      </c>
      <c r="L154" t="s">
        <v>485</v>
      </c>
      <c r="M154" t="s">
        <v>486</v>
      </c>
      <c r="N154" s="2" t="s">
        <v>481</v>
      </c>
      <c r="O154">
        <f>S154</f>
        <v>50</v>
      </c>
      <c r="R154" t="s">
        <v>9</v>
      </c>
      <c r="S154">
        <v>50</v>
      </c>
      <c r="T154" t="s">
        <v>488</v>
      </c>
    </row>
    <row r="155" spans="1:20" x14ac:dyDescent="0.25">
      <c r="A155">
        <v>153</v>
      </c>
      <c r="B155" t="s">
        <v>193</v>
      </c>
      <c r="C155">
        <v>95129</v>
      </c>
      <c r="D155" t="str">
        <f>"372-26-019"</f>
        <v>372-26-019</v>
      </c>
      <c r="E155" t="s">
        <v>6</v>
      </c>
      <c r="F155" t="s">
        <v>33</v>
      </c>
      <c r="G155">
        <v>0</v>
      </c>
      <c r="H155">
        <v>0</v>
      </c>
      <c r="I155" s="1">
        <v>1.03905830512299</v>
      </c>
      <c r="J155" s="24" t="s">
        <v>12</v>
      </c>
      <c r="K155" t="s">
        <v>484</v>
      </c>
      <c r="L155" t="s">
        <v>485</v>
      </c>
      <c r="M155" t="s">
        <v>486</v>
      </c>
      <c r="N155" s="2" t="s">
        <v>481</v>
      </c>
      <c r="O155">
        <f>S155</f>
        <v>104</v>
      </c>
      <c r="R155" t="s">
        <v>9</v>
      </c>
      <c r="S155">
        <v>104</v>
      </c>
      <c r="T155" t="s">
        <v>488</v>
      </c>
    </row>
    <row r="156" spans="1:20" x14ac:dyDescent="0.25">
      <c r="A156">
        <v>154</v>
      </c>
      <c r="B156" t="s">
        <v>194</v>
      </c>
      <c r="C156">
        <v>95129</v>
      </c>
      <c r="D156" t="str">
        <f>"372-26-018"</f>
        <v>372-26-018</v>
      </c>
      <c r="E156" t="s">
        <v>6</v>
      </c>
      <c r="F156" t="s">
        <v>33</v>
      </c>
      <c r="G156">
        <v>0</v>
      </c>
      <c r="H156">
        <v>0</v>
      </c>
      <c r="I156" s="1">
        <v>0.72035846791424496</v>
      </c>
      <c r="J156" s="24" t="s">
        <v>12</v>
      </c>
      <c r="K156" t="s">
        <v>484</v>
      </c>
      <c r="L156" t="s">
        <v>485</v>
      </c>
      <c r="M156" t="s">
        <v>486</v>
      </c>
      <c r="N156" s="2" t="s">
        <v>481</v>
      </c>
      <c r="O156">
        <f>S156</f>
        <v>64</v>
      </c>
      <c r="R156" t="s">
        <v>9</v>
      </c>
      <c r="S156">
        <v>64</v>
      </c>
      <c r="T156" t="s">
        <v>488</v>
      </c>
    </row>
    <row r="157" spans="1:20" x14ac:dyDescent="0.25">
      <c r="A157">
        <v>155</v>
      </c>
      <c r="B157" t="s">
        <v>195</v>
      </c>
      <c r="C157">
        <v>95128</v>
      </c>
      <c r="D157" t="str">
        <f>"305-01-001"</f>
        <v>305-01-001</v>
      </c>
      <c r="E157" t="s">
        <v>11</v>
      </c>
      <c r="F157" t="s">
        <v>11</v>
      </c>
      <c r="G157">
        <v>65</v>
      </c>
      <c r="H157">
        <v>250</v>
      </c>
      <c r="I157" s="1">
        <v>1.3985493252063399</v>
      </c>
      <c r="J157" s="24" t="s">
        <v>14</v>
      </c>
      <c r="K157" t="s">
        <v>484</v>
      </c>
      <c r="L157" t="s">
        <v>485</v>
      </c>
      <c r="M157" t="s">
        <v>486</v>
      </c>
      <c r="N157" s="2" t="s">
        <v>481</v>
      </c>
      <c r="O157">
        <f>S157</f>
        <v>91</v>
      </c>
      <c r="R157" t="s">
        <v>9</v>
      </c>
      <c r="S157">
        <v>91</v>
      </c>
    </row>
    <row r="158" spans="1:20" x14ac:dyDescent="0.25">
      <c r="A158">
        <v>156</v>
      </c>
      <c r="B158" t="s">
        <v>196</v>
      </c>
      <c r="C158">
        <v>95112</v>
      </c>
      <c r="D158" t="str">
        <f>"235-07-064"</f>
        <v>235-07-064</v>
      </c>
      <c r="E158" t="s">
        <v>64</v>
      </c>
      <c r="F158" t="s">
        <v>64</v>
      </c>
      <c r="G158">
        <v>30</v>
      </c>
      <c r="H158">
        <v>95</v>
      </c>
      <c r="I158" s="1">
        <v>0.69610650710527</v>
      </c>
      <c r="J158" s="24" t="s">
        <v>12</v>
      </c>
      <c r="K158" t="s">
        <v>484</v>
      </c>
      <c r="L158" t="s">
        <v>485</v>
      </c>
      <c r="M158" t="s">
        <v>486</v>
      </c>
      <c r="Q158">
        <f>S158</f>
        <v>63</v>
      </c>
      <c r="R158" t="s">
        <v>34</v>
      </c>
      <c r="S158">
        <v>63</v>
      </c>
    </row>
    <row r="159" spans="1:20" x14ac:dyDescent="0.25">
      <c r="A159">
        <v>157</v>
      </c>
      <c r="B159" t="s">
        <v>198</v>
      </c>
      <c r="C159">
        <v>95129</v>
      </c>
      <c r="D159" t="str">
        <f>"381-12-128"</f>
        <v>381-12-128</v>
      </c>
      <c r="E159" t="s">
        <v>6</v>
      </c>
      <c r="F159" t="s">
        <v>33</v>
      </c>
      <c r="G159">
        <v>0</v>
      </c>
      <c r="H159">
        <v>0</v>
      </c>
      <c r="I159" s="1">
        <v>1.14971751750315</v>
      </c>
      <c r="J159" s="24" t="s">
        <v>12</v>
      </c>
      <c r="K159" t="s">
        <v>484</v>
      </c>
      <c r="L159" t="s">
        <v>485</v>
      </c>
      <c r="M159" t="s">
        <v>486</v>
      </c>
      <c r="N159" s="2" t="s">
        <v>481</v>
      </c>
      <c r="O159">
        <f>S159</f>
        <v>87</v>
      </c>
      <c r="R159" t="s">
        <v>9</v>
      </c>
      <c r="S159">
        <v>87</v>
      </c>
      <c r="T159" t="s">
        <v>488</v>
      </c>
    </row>
    <row r="160" spans="1:20" x14ac:dyDescent="0.25">
      <c r="A160">
        <v>158</v>
      </c>
      <c r="B160" t="s">
        <v>199</v>
      </c>
      <c r="C160">
        <v>95129</v>
      </c>
      <c r="D160" t="str">
        <f>"381-12-111"</f>
        <v>381-12-111</v>
      </c>
      <c r="E160" t="s">
        <v>6</v>
      </c>
      <c r="F160" t="s">
        <v>33</v>
      </c>
      <c r="G160">
        <v>0</v>
      </c>
      <c r="H160">
        <v>0</v>
      </c>
      <c r="I160" s="1">
        <v>0.91290776710454202</v>
      </c>
      <c r="J160" s="24" t="s">
        <v>14</v>
      </c>
      <c r="K160" t="s">
        <v>484</v>
      </c>
      <c r="L160" t="s">
        <v>485</v>
      </c>
      <c r="M160" t="s">
        <v>486</v>
      </c>
      <c r="N160" s="2" t="s">
        <v>481</v>
      </c>
      <c r="O160">
        <f>S160</f>
        <v>81</v>
      </c>
      <c r="R160" t="s">
        <v>9</v>
      </c>
      <c r="S160">
        <v>81</v>
      </c>
      <c r="T160" t="s">
        <v>488</v>
      </c>
    </row>
    <row r="161" spans="1:20" x14ac:dyDescent="0.25">
      <c r="A161">
        <v>159</v>
      </c>
      <c r="B161" t="s">
        <v>200</v>
      </c>
      <c r="C161">
        <v>95129</v>
      </c>
      <c r="D161" t="str">
        <f>"381-16-145"</f>
        <v>381-16-145</v>
      </c>
      <c r="E161" t="s">
        <v>6</v>
      </c>
      <c r="F161" t="s">
        <v>33</v>
      </c>
      <c r="G161">
        <v>0</v>
      </c>
      <c r="H161">
        <v>0</v>
      </c>
      <c r="I161" s="1">
        <v>0.903120737772103</v>
      </c>
      <c r="J161" s="24" t="s">
        <v>12</v>
      </c>
      <c r="K161" t="s">
        <v>484</v>
      </c>
      <c r="L161" t="s">
        <v>485</v>
      </c>
      <c r="M161" t="s">
        <v>486</v>
      </c>
      <c r="N161" s="2" t="s">
        <v>481</v>
      </c>
      <c r="O161">
        <f>S161</f>
        <v>91</v>
      </c>
      <c r="R161" t="s">
        <v>9</v>
      </c>
      <c r="S161">
        <v>91</v>
      </c>
      <c r="T161" t="s">
        <v>488</v>
      </c>
    </row>
    <row r="162" spans="1:20" x14ac:dyDescent="0.25">
      <c r="A162">
        <v>160</v>
      </c>
      <c r="B162" t="s">
        <v>201</v>
      </c>
      <c r="C162">
        <v>95129</v>
      </c>
      <c r="D162" t="str">
        <f>"381-31-046"</f>
        <v>381-31-046</v>
      </c>
      <c r="E162" t="s">
        <v>6</v>
      </c>
      <c r="F162" t="s">
        <v>33</v>
      </c>
      <c r="G162">
        <v>0</v>
      </c>
      <c r="H162">
        <v>0</v>
      </c>
      <c r="I162" s="1">
        <v>0.576330260824646</v>
      </c>
      <c r="J162" s="24" t="s">
        <v>12</v>
      </c>
      <c r="K162" t="s">
        <v>484</v>
      </c>
      <c r="L162" t="s">
        <v>485</v>
      </c>
      <c r="M162" t="s">
        <v>486</v>
      </c>
      <c r="N162" s="2" t="s">
        <v>481</v>
      </c>
      <c r="O162">
        <f>S162</f>
        <v>58</v>
      </c>
      <c r="R162" t="s">
        <v>9</v>
      </c>
      <c r="S162">
        <v>58</v>
      </c>
      <c r="T162" t="s">
        <v>488</v>
      </c>
    </row>
    <row r="163" spans="1:20" x14ac:dyDescent="0.25">
      <c r="A163">
        <v>161</v>
      </c>
      <c r="B163" t="s">
        <v>202</v>
      </c>
      <c r="C163">
        <v>95129</v>
      </c>
      <c r="D163" t="str">
        <f>"386-11-050"</f>
        <v>386-11-050</v>
      </c>
      <c r="E163" t="s">
        <v>6</v>
      </c>
      <c r="F163" t="s">
        <v>33</v>
      </c>
      <c r="G163">
        <v>0</v>
      </c>
      <c r="H163">
        <v>0</v>
      </c>
      <c r="I163" s="1">
        <v>0.71160449254526204</v>
      </c>
      <c r="J163" s="24" t="s">
        <v>14</v>
      </c>
      <c r="K163" t="s">
        <v>484</v>
      </c>
      <c r="L163" t="s">
        <v>485</v>
      </c>
      <c r="M163" t="s">
        <v>486</v>
      </c>
      <c r="N163" s="2" t="s">
        <v>481</v>
      </c>
      <c r="O163">
        <f>S163</f>
        <v>75</v>
      </c>
      <c r="R163" t="s">
        <v>9</v>
      </c>
      <c r="S163">
        <v>75</v>
      </c>
      <c r="T163" t="s">
        <v>488</v>
      </c>
    </row>
    <row r="164" spans="1:20" x14ac:dyDescent="0.25">
      <c r="A164">
        <v>162</v>
      </c>
      <c r="B164" t="s">
        <v>203</v>
      </c>
      <c r="C164">
        <v>95129</v>
      </c>
      <c r="D164" t="str">
        <f>"386-11-051"</f>
        <v>386-11-051</v>
      </c>
      <c r="E164" t="s">
        <v>6</v>
      </c>
      <c r="F164" t="s">
        <v>33</v>
      </c>
      <c r="G164">
        <v>0</v>
      </c>
      <c r="H164">
        <v>0</v>
      </c>
      <c r="I164" s="1">
        <v>0.771010312963474</v>
      </c>
      <c r="J164" s="24" t="s">
        <v>14</v>
      </c>
      <c r="K164" t="s">
        <v>484</v>
      </c>
      <c r="L164" t="s">
        <v>485</v>
      </c>
      <c r="M164" t="s">
        <v>486</v>
      </c>
      <c r="N164" s="2" t="s">
        <v>481</v>
      </c>
      <c r="O164">
        <f>S164</f>
        <v>71</v>
      </c>
      <c r="R164" t="s">
        <v>9</v>
      </c>
      <c r="S164">
        <v>71</v>
      </c>
      <c r="T164" t="s">
        <v>488</v>
      </c>
    </row>
    <row r="165" spans="1:20" x14ac:dyDescent="0.25">
      <c r="A165">
        <v>163</v>
      </c>
      <c r="B165" t="s">
        <v>204</v>
      </c>
      <c r="C165">
        <v>95125</v>
      </c>
      <c r="D165" t="str">
        <f>"284-17-021"</f>
        <v>284-17-021</v>
      </c>
      <c r="E165" t="s">
        <v>6</v>
      </c>
      <c r="F165" t="s">
        <v>33</v>
      </c>
      <c r="G165">
        <v>0</v>
      </c>
      <c r="H165">
        <v>0</v>
      </c>
      <c r="I165" s="1">
        <v>0.84871859299394403</v>
      </c>
      <c r="J165" s="24" t="s">
        <v>12</v>
      </c>
      <c r="K165" t="s">
        <v>484</v>
      </c>
      <c r="L165" t="s">
        <v>485</v>
      </c>
      <c r="M165" t="s">
        <v>486</v>
      </c>
      <c r="N165" s="2" t="s">
        <v>481</v>
      </c>
      <c r="O165">
        <f>S165</f>
        <v>74</v>
      </c>
      <c r="R165" t="s">
        <v>9</v>
      </c>
      <c r="S165">
        <v>74</v>
      </c>
      <c r="T165" t="s">
        <v>488</v>
      </c>
    </row>
    <row r="166" spans="1:20" x14ac:dyDescent="0.25">
      <c r="A166">
        <v>164</v>
      </c>
      <c r="B166" t="s">
        <v>205</v>
      </c>
      <c r="C166">
        <v>95127</v>
      </c>
      <c r="D166" t="str">
        <f>"599-37-042"</f>
        <v>599-37-042</v>
      </c>
      <c r="E166" t="s">
        <v>6</v>
      </c>
      <c r="F166" t="s">
        <v>33</v>
      </c>
      <c r="G166">
        <v>0</v>
      </c>
      <c r="H166">
        <v>0</v>
      </c>
      <c r="I166" s="1">
        <v>0.62635451101463402</v>
      </c>
      <c r="J166" s="24" t="s">
        <v>8</v>
      </c>
      <c r="K166" t="s">
        <v>484</v>
      </c>
      <c r="L166" t="s">
        <v>485</v>
      </c>
      <c r="M166" t="s">
        <v>486</v>
      </c>
      <c r="N166" s="2" t="s">
        <v>481</v>
      </c>
      <c r="O166">
        <f>S166</f>
        <v>47</v>
      </c>
      <c r="R166" t="s">
        <v>9</v>
      </c>
      <c r="S166">
        <v>47</v>
      </c>
      <c r="T166" t="s">
        <v>488</v>
      </c>
    </row>
    <row r="167" spans="1:20" x14ac:dyDescent="0.25">
      <c r="A167">
        <v>165</v>
      </c>
      <c r="B167" t="s">
        <v>206</v>
      </c>
      <c r="C167">
        <v>95127</v>
      </c>
      <c r="D167" t="str">
        <f>"599-37-050"</f>
        <v>599-37-050</v>
      </c>
      <c r="E167" t="s">
        <v>6</v>
      </c>
      <c r="F167" t="s">
        <v>33</v>
      </c>
      <c r="G167">
        <v>0</v>
      </c>
      <c r="H167">
        <v>0</v>
      </c>
      <c r="I167" s="1">
        <v>0.626521146468071</v>
      </c>
      <c r="J167" s="24" t="s">
        <v>12</v>
      </c>
      <c r="K167" t="s">
        <v>484</v>
      </c>
      <c r="L167" t="s">
        <v>485</v>
      </c>
      <c r="M167" t="s">
        <v>486</v>
      </c>
      <c r="N167" s="2" t="s">
        <v>481</v>
      </c>
      <c r="O167">
        <f>S167</f>
        <v>54</v>
      </c>
      <c r="R167" t="s">
        <v>9</v>
      </c>
      <c r="S167">
        <v>54</v>
      </c>
      <c r="T167" t="s">
        <v>488</v>
      </c>
    </row>
    <row r="168" spans="1:20" x14ac:dyDescent="0.25">
      <c r="A168">
        <v>166</v>
      </c>
      <c r="B168" t="s">
        <v>207</v>
      </c>
      <c r="C168">
        <v>95118</v>
      </c>
      <c r="D168" t="str">
        <f>"451-07-002"</f>
        <v>451-07-002</v>
      </c>
      <c r="E168" t="s">
        <v>6</v>
      </c>
      <c r="F168" t="s">
        <v>33</v>
      </c>
      <c r="G168">
        <v>0</v>
      </c>
      <c r="H168">
        <v>0</v>
      </c>
      <c r="I168" s="1">
        <v>0.79613569496932102</v>
      </c>
      <c r="J168" s="24" t="s">
        <v>14</v>
      </c>
      <c r="K168" t="s">
        <v>484</v>
      </c>
      <c r="L168" t="s">
        <v>485</v>
      </c>
      <c r="M168" t="s">
        <v>486</v>
      </c>
      <c r="N168" s="2" t="s">
        <v>481</v>
      </c>
      <c r="O168">
        <f>S168</f>
        <v>71</v>
      </c>
      <c r="R168" t="s">
        <v>9</v>
      </c>
      <c r="S168">
        <v>71</v>
      </c>
      <c r="T168" t="s">
        <v>488</v>
      </c>
    </row>
    <row r="169" spans="1:20" x14ac:dyDescent="0.25">
      <c r="A169">
        <v>167</v>
      </c>
      <c r="B169" t="s">
        <v>208</v>
      </c>
      <c r="C169">
        <v>95118</v>
      </c>
      <c r="D169" t="str">
        <f>"451-09-064"</f>
        <v>451-09-064</v>
      </c>
      <c r="E169" t="s">
        <v>6</v>
      </c>
      <c r="F169" t="s">
        <v>33</v>
      </c>
      <c r="G169">
        <v>0</v>
      </c>
      <c r="H169">
        <v>0</v>
      </c>
      <c r="I169" s="1">
        <v>0.84586055245679903</v>
      </c>
      <c r="J169" s="24" t="s">
        <v>14</v>
      </c>
      <c r="K169" t="s">
        <v>484</v>
      </c>
      <c r="L169" t="s">
        <v>485</v>
      </c>
      <c r="M169" t="s">
        <v>486</v>
      </c>
      <c r="N169" s="2" t="s">
        <v>481</v>
      </c>
      <c r="O169">
        <f>S169</f>
        <v>77</v>
      </c>
      <c r="R169" t="s">
        <v>9</v>
      </c>
      <c r="S169">
        <v>77</v>
      </c>
      <c r="T169" t="s">
        <v>488</v>
      </c>
    </row>
    <row r="170" spans="1:20" x14ac:dyDescent="0.25">
      <c r="A170">
        <v>168</v>
      </c>
      <c r="B170" t="s">
        <v>209</v>
      </c>
      <c r="C170">
        <v>95118</v>
      </c>
      <c r="D170" t="str">
        <f>"451-09-068"</f>
        <v>451-09-068</v>
      </c>
      <c r="E170" t="s">
        <v>6</v>
      </c>
      <c r="F170" t="s">
        <v>33</v>
      </c>
      <c r="G170">
        <v>0</v>
      </c>
      <c r="H170">
        <v>0</v>
      </c>
      <c r="I170" s="1">
        <v>1.5402789803714401</v>
      </c>
      <c r="J170" s="24" t="s">
        <v>14</v>
      </c>
      <c r="K170" t="s">
        <v>484</v>
      </c>
      <c r="L170" t="s">
        <v>485</v>
      </c>
      <c r="M170" t="s">
        <v>486</v>
      </c>
      <c r="N170" s="2" t="s">
        <v>481</v>
      </c>
      <c r="O170">
        <f>S170</f>
        <v>140</v>
      </c>
      <c r="R170" t="s">
        <v>9</v>
      </c>
      <c r="S170">
        <v>140</v>
      </c>
      <c r="T170" t="s">
        <v>488</v>
      </c>
    </row>
    <row r="171" spans="1:20" x14ac:dyDescent="0.25">
      <c r="A171">
        <v>169</v>
      </c>
      <c r="B171" t="s">
        <v>210</v>
      </c>
      <c r="C171">
        <v>95118</v>
      </c>
      <c r="D171" t="str">
        <f>"451-32-089"</f>
        <v>451-32-089</v>
      </c>
      <c r="E171" t="s">
        <v>6</v>
      </c>
      <c r="F171" t="s">
        <v>33</v>
      </c>
      <c r="G171">
        <v>0</v>
      </c>
      <c r="H171">
        <v>0</v>
      </c>
      <c r="I171" s="1">
        <v>0.72507359678673799</v>
      </c>
      <c r="J171" s="24" t="s">
        <v>12</v>
      </c>
      <c r="K171" t="s">
        <v>484</v>
      </c>
      <c r="L171" t="s">
        <v>485</v>
      </c>
      <c r="M171" t="s">
        <v>486</v>
      </c>
      <c r="N171" s="2" t="s">
        <v>481</v>
      </c>
      <c r="O171">
        <f>S171</f>
        <v>64</v>
      </c>
      <c r="R171" t="s">
        <v>9</v>
      </c>
      <c r="S171">
        <v>64</v>
      </c>
      <c r="T171" s="3" t="s">
        <v>487</v>
      </c>
    </row>
    <row r="172" spans="1:20" x14ac:dyDescent="0.25">
      <c r="A172">
        <v>170</v>
      </c>
      <c r="B172" t="s">
        <v>211</v>
      </c>
      <c r="C172">
        <v>95118</v>
      </c>
      <c r="D172" t="str">
        <f>"451-41-068"</f>
        <v>451-41-068</v>
      </c>
      <c r="E172" t="s">
        <v>6</v>
      </c>
      <c r="F172" t="s">
        <v>30</v>
      </c>
      <c r="G172">
        <v>0</v>
      </c>
      <c r="H172">
        <v>0</v>
      </c>
      <c r="I172" s="1">
        <v>1.4396020846427899</v>
      </c>
      <c r="J172" s="24" t="s">
        <v>12</v>
      </c>
      <c r="K172" t="s">
        <v>484</v>
      </c>
      <c r="L172" t="s">
        <v>485</v>
      </c>
      <c r="M172" t="s">
        <v>486</v>
      </c>
      <c r="N172" s="2" t="s">
        <v>481</v>
      </c>
      <c r="O172">
        <f>S172</f>
        <v>94</v>
      </c>
      <c r="R172" t="s">
        <v>9</v>
      </c>
      <c r="S172">
        <v>94</v>
      </c>
      <c r="T172" s="3" t="s">
        <v>487</v>
      </c>
    </row>
    <row r="173" spans="1:20" x14ac:dyDescent="0.25">
      <c r="A173">
        <v>171</v>
      </c>
      <c r="B173" t="s">
        <v>212</v>
      </c>
      <c r="C173">
        <v>95123</v>
      </c>
      <c r="D173" t="str">
        <f>"458-14-024"</f>
        <v>458-14-024</v>
      </c>
      <c r="E173" t="s">
        <v>6</v>
      </c>
      <c r="F173" t="s">
        <v>33</v>
      </c>
      <c r="G173">
        <v>0</v>
      </c>
      <c r="H173">
        <v>0</v>
      </c>
      <c r="I173" s="1">
        <v>0.97393407277485899</v>
      </c>
      <c r="J173" s="24" t="s">
        <v>12</v>
      </c>
      <c r="K173" t="s">
        <v>484</v>
      </c>
      <c r="L173" t="s">
        <v>485</v>
      </c>
      <c r="M173" t="s">
        <v>486</v>
      </c>
      <c r="N173" s="2" t="s">
        <v>481</v>
      </c>
      <c r="O173">
        <f>S173</f>
        <v>98</v>
      </c>
      <c r="R173" t="s">
        <v>9</v>
      </c>
      <c r="S173">
        <v>98</v>
      </c>
      <c r="T173" t="s">
        <v>488</v>
      </c>
    </row>
    <row r="174" spans="1:20" x14ac:dyDescent="0.25">
      <c r="A174">
        <v>172</v>
      </c>
      <c r="B174" t="s">
        <v>213</v>
      </c>
      <c r="C174">
        <v>95123</v>
      </c>
      <c r="D174" t="str">
        <f>"464-27-027"</f>
        <v>464-27-027</v>
      </c>
      <c r="E174" t="s">
        <v>6</v>
      </c>
      <c r="F174" t="s">
        <v>33</v>
      </c>
      <c r="G174">
        <v>0</v>
      </c>
      <c r="H174">
        <v>0</v>
      </c>
      <c r="I174" s="1">
        <v>1.77293508228791</v>
      </c>
      <c r="J174" s="24" t="s">
        <v>14</v>
      </c>
      <c r="K174" t="s">
        <v>484</v>
      </c>
      <c r="L174" t="s">
        <v>485</v>
      </c>
      <c r="M174" t="s">
        <v>486</v>
      </c>
      <c r="N174" s="2" t="s">
        <v>481</v>
      </c>
      <c r="O174">
        <f>S174</f>
        <v>161</v>
      </c>
      <c r="R174" t="s">
        <v>9</v>
      </c>
      <c r="S174">
        <v>161</v>
      </c>
      <c r="T174" t="s">
        <v>488</v>
      </c>
    </row>
    <row r="175" spans="1:20" x14ac:dyDescent="0.25">
      <c r="A175">
        <v>173</v>
      </c>
      <c r="B175" t="s">
        <v>214</v>
      </c>
      <c r="C175">
        <v>95123</v>
      </c>
      <c r="D175" t="str">
        <f>"464-14-006"</f>
        <v>464-14-006</v>
      </c>
      <c r="E175" t="s">
        <v>6</v>
      </c>
      <c r="F175" t="s">
        <v>33</v>
      </c>
      <c r="G175">
        <v>0</v>
      </c>
      <c r="H175">
        <v>0</v>
      </c>
      <c r="I175" s="1">
        <v>0.97488150223931602</v>
      </c>
      <c r="J175" s="24" t="s">
        <v>12</v>
      </c>
      <c r="K175" t="s">
        <v>484</v>
      </c>
      <c r="L175" t="s">
        <v>485</v>
      </c>
      <c r="M175" t="s">
        <v>486</v>
      </c>
      <c r="N175" s="2" t="s">
        <v>481</v>
      </c>
      <c r="O175">
        <f>S175</f>
        <v>85</v>
      </c>
      <c r="R175" t="s">
        <v>9</v>
      </c>
      <c r="S175">
        <v>85</v>
      </c>
      <c r="T175" t="s">
        <v>488</v>
      </c>
    </row>
    <row r="176" spans="1:20" x14ac:dyDescent="0.25">
      <c r="A176">
        <v>174</v>
      </c>
      <c r="B176" t="s">
        <v>215</v>
      </c>
      <c r="C176">
        <v>95123</v>
      </c>
      <c r="D176" t="str">
        <f>"464-14-007"</f>
        <v>464-14-007</v>
      </c>
      <c r="E176" t="s">
        <v>6</v>
      </c>
      <c r="F176" t="s">
        <v>33</v>
      </c>
      <c r="G176">
        <v>0</v>
      </c>
      <c r="H176">
        <v>0</v>
      </c>
      <c r="I176" s="1">
        <v>0.99238319284899601</v>
      </c>
      <c r="J176" s="24" t="s">
        <v>12</v>
      </c>
      <c r="K176" t="s">
        <v>484</v>
      </c>
      <c r="L176" t="s">
        <v>485</v>
      </c>
      <c r="M176" t="s">
        <v>486</v>
      </c>
      <c r="N176" s="2" t="s">
        <v>481</v>
      </c>
      <c r="O176">
        <f>S176</f>
        <v>100</v>
      </c>
      <c r="R176" t="s">
        <v>9</v>
      </c>
      <c r="S176">
        <v>100</v>
      </c>
      <c r="T176" t="s">
        <v>488</v>
      </c>
    </row>
    <row r="177" spans="1:20" x14ac:dyDescent="0.25">
      <c r="A177">
        <v>175</v>
      </c>
      <c r="B177" t="s">
        <v>216</v>
      </c>
      <c r="C177">
        <v>95123</v>
      </c>
      <c r="D177" t="str">
        <f>"464-14-015"</f>
        <v>464-14-015</v>
      </c>
      <c r="E177" t="s">
        <v>6</v>
      </c>
      <c r="F177" t="s">
        <v>33</v>
      </c>
      <c r="G177">
        <v>0</v>
      </c>
      <c r="H177">
        <v>0</v>
      </c>
      <c r="I177" s="1">
        <v>0.51965009660607797</v>
      </c>
      <c r="J177" s="24" t="s">
        <v>14</v>
      </c>
      <c r="K177" t="s">
        <v>484</v>
      </c>
      <c r="L177" t="s">
        <v>485</v>
      </c>
      <c r="M177" t="s">
        <v>486</v>
      </c>
      <c r="N177" s="2" t="s">
        <v>481</v>
      </c>
      <c r="O177">
        <f>S177</f>
        <v>46</v>
      </c>
      <c r="R177" t="s">
        <v>9</v>
      </c>
      <c r="S177">
        <v>46</v>
      </c>
      <c r="T177" t="s">
        <v>488</v>
      </c>
    </row>
    <row r="178" spans="1:20" x14ac:dyDescent="0.25">
      <c r="A178">
        <v>176</v>
      </c>
      <c r="B178" t="s">
        <v>217</v>
      </c>
      <c r="C178">
        <v>95123</v>
      </c>
      <c r="D178" t="str">
        <f>"464-14-016"</f>
        <v>464-14-016</v>
      </c>
      <c r="E178" t="s">
        <v>6</v>
      </c>
      <c r="F178" t="s">
        <v>33</v>
      </c>
      <c r="G178">
        <v>0</v>
      </c>
      <c r="H178">
        <v>0</v>
      </c>
      <c r="I178" s="1">
        <v>0.51832640729243395</v>
      </c>
      <c r="J178" s="24" t="s">
        <v>12</v>
      </c>
      <c r="K178" t="s">
        <v>484</v>
      </c>
      <c r="L178" t="s">
        <v>485</v>
      </c>
      <c r="M178" t="s">
        <v>486</v>
      </c>
      <c r="N178" s="2" t="s">
        <v>481</v>
      </c>
      <c r="O178">
        <f>S178</f>
        <v>46</v>
      </c>
      <c r="R178" t="s">
        <v>9</v>
      </c>
      <c r="S178">
        <v>46</v>
      </c>
      <c r="T178" t="s">
        <v>488</v>
      </c>
    </row>
    <row r="179" spans="1:20" x14ac:dyDescent="0.25">
      <c r="A179">
        <v>177</v>
      </c>
      <c r="B179" t="s">
        <v>218</v>
      </c>
      <c r="C179">
        <v>95123</v>
      </c>
      <c r="D179" t="str">
        <f>"464-14-025"</f>
        <v>464-14-025</v>
      </c>
      <c r="E179" t="s">
        <v>6</v>
      </c>
      <c r="F179" t="s">
        <v>33</v>
      </c>
      <c r="G179">
        <v>0</v>
      </c>
      <c r="H179">
        <v>0</v>
      </c>
      <c r="I179" s="1">
        <v>0.65138541803776595</v>
      </c>
      <c r="J179" s="24" t="s">
        <v>14</v>
      </c>
      <c r="K179" t="s">
        <v>484</v>
      </c>
      <c r="L179" t="s">
        <v>485</v>
      </c>
      <c r="M179" t="s">
        <v>486</v>
      </c>
      <c r="N179" s="2" t="s">
        <v>481</v>
      </c>
      <c r="O179">
        <f>S179</f>
        <v>58</v>
      </c>
      <c r="R179" t="s">
        <v>9</v>
      </c>
      <c r="S179">
        <v>58</v>
      </c>
      <c r="T179" t="s">
        <v>488</v>
      </c>
    </row>
    <row r="180" spans="1:20" x14ac:dyDescent="0.25">
      <c r="A180">
        <v>178</v>
      </c>
      <c r="B180" t="s">
        <v>219</v>
      </c>
      <c r="C180">
        <v>95123</v>
      </c>
      <c r="D180" t="str">
        <f>"464-46-072"</f>
        <v>464-46-072</v>
      </c>
      <c r="E180" t="s">
        <v>6</v>
      </c>
      <c r="F180" t="s">
        <v>33</v>
      </c>
      <c r="G180">
        <v>0</v>
      </c>
      <c r="H180">
        <v>0</v>
      </c>
      <c r="I180" s="1">
        <v>0.51280537889840105</v>
      </c>
      <c r="J180" s="24" t="s">
        <v>12</v>
      </c>
      <c r="K180" t="s">
        <v>484</v>
      </c>
      <c r="L180" t="s">
        <v>485</v>
      </c>
      <c r="M180" t="s">
        <v>486</v>
      </c>
      <c r="N180" s="2" t="s">
        <v>481</v>
      </c>
      <c r="O180">
        <f>S180</f>
        <v>52</v>
      </c>
      <c r="R180" t="s">
        <v>9</v>
      </c>
      <c r="S180">
        <v>52</v>
      </c>
      <c r="T180" t="s">
        <v>488</v>
      </c>
    </row>
    <row r="181" spans="1:20" x14ac:dyDescent="0.25">
      <c r="A181">
        <v>179</v>
      </c>
      <c r="B181" t="s">
        <v>220</v>
      </c>
      <c r="C181">
        <v>95118</v>
      </c>
      <c r="D181" t="str">
        <f>"569-01-099"</f>
        <v>569-01-099</v>
      </c>
      <c r="E181" t="s">
        <v>6</v>
      </c>
      <c r="F181" t="s">
        <v>30</v>
      </c>
      <c r="G181">
        <v>0</v>
      </c>
      <c r="H181">
        <v>0</v>
      </c>
      <c r="I181" s="1">
        <v>1.35710685637463</v>
      </c>
      <c r="J181" s="24" t="s">
        <v>158</v>
      </c>
      <c r="K181" t="s">
        <v>484</v>
      </c>
      <c r="L181" t="s">
        <v>485</v>
      </c>
      <c r="M181" t="s">
        <v>486</v>
      </c>
      <c r="N181" s="2" t="s">
        <v>481</v>
      </c>
      <c r="O181">
        <f>S181</f>
        <v>102</v>
      </c>
      <c r="R181" t="s">
        <v>9</v>
      </c>
      <c r="S181">
        <v>102</v>
      </c>
      <c r="T181" s="3" t="s">
        <v>487</v>
      </c>
    </row>
    <row r="182" spans="1:20" x14ac:dyDescent="0.25">
      <c r="A182">
        <v>180</v>
      </c>
      <c r="B182" t="s">
        <v>221</v>
      </c>
      <c r="C182">
        <v>95124</v>
      </c>
      <c r="D182" t="str">
        <f>"569-16-006"</f>
        <v>569-16-006</v>
      </c>
      <c r="E182" t="s">
        <v>6</v>
      </c>
      <c r="F182" t="s">
        <v>33</v>
      </c>
      <c r="G182">
        <v>0</v>
      </c>
      <c r="H182">
        <v>0</v>
      </c>
      <c r="I182" s="1">
        <v>0.66958102861548996</v>
      </c>
      <c r="J182" s="24" t="s">
        <v>14</v>
      </c>
      <c r="K182" t="s">
        <v>484</v>
      </c>
      <c r="L182" t="s">
        <v>485</v>
      </c>
      <c r="M182" t="s">
        <v>486</v>
      </c>
      <c r="N182" s="2" t="s">
        <v>481</v>
      </c>
      <c r="O182">
        <f>S182</f>
        <v>70</v>
      </c>
      <c r="R182" t="s">
        <v>9</v>
      </c>
      <c r="S182">
        <v>70</v>
      </c>
      <c r="T182" t="s">
        <v>488</v>
      </c>
    </row>
    <row r="183" spans="1:20" x14ac:dyDescent="0.25">
      <c r="A183">
        <v>181</v>
      </c>
      <c r="B183" t="s">
        <v>222</v>
      </c>
      <c r="C183">
        <v>95124</v>
      </c>
      <c r="D183" t="str">
        <f>"569-18-058"</f>
        <v>569-18-058</v>
      </c>
      <c r="E183" t="s">
        <v>28</v>
      </c>
      <c r="F183" t="s">
        <v>223</v>
      </c>
      <c r="G183">
        <v>0</v>
      </c>
      <c r="H183">
        <v>8</v>
      </c>
      <c r="I183" s="1">
        <v>1.82769998393204</v>
      </c>
      <c r="J183" s="24" t="s">
        <v>17</v>
      </c>
      <c r="K183" t="s">
        <v>484</v>
      </c>
      <c r="L183" t="s">
        <v>485</v>
      </c>
      <c r="M183" t="s">
        <v>486</v>
      </c>
      <c r="P183">
        <f>S183</f>
        <v>12</v>
      </c>
      <c r="R183" t="s">
        <v>25</v>
      </c>
      <c r="S183">
        <v>12</v>
      </c>
    </row>
    <row r="184" spans="1:20" x14ac:dyDescent="0.25">
      <c r="A184">
        <v>182</v>
      </c>
      <c r="B184" t="s">
        <v>224</v>
      </c>
      <c r="C184">
        <v>95132</v>
      </c>
      <c r="D184" t="str">
        <f>"245-05-015"</f>
        <v>245-05-015</v>
      </c>
      <c r="E184" t="s">
        <v>6</v>
      </c>
      <c r="F184" t="s">
        <v>30</v>
      </c>
      <c r="G184">
        <v>0</v>
      </c>
      <c r="H184">
        <v>0</v>
      </c>
      <c r="I184" s="1">
        <v>1.48664733845004</v>
      </c>
      <c r="J184" s="24" t="s">
        <v>8</v>
      </c>
      <c r="K184" t="s">
        <v>484</v>
      </c>
      <c r="L184" t="s">
        <v>485</v>
      </c>
      <c r="M184" t="s">
        <v>486</v>
      </c>
      <c r="N184" s="2" t="s">
        <v>481</v>
      </c>
      <c r="O184">
        <f>S184</f>
        <v>114</v>
      </c>
      <c r="R184" t="s">
        <v>9</v>
      </c>
      <c r="S184">
        <v>114</v>
      </c>
      <c r="T184" t="s">
        <v>488</v>
      </c>
    </row>
    <row r="185" spans="1:20" x14ac:dyDescent="0.25">
      <c r="A185">
        <v>183</v>
      </c>
      <c r="B185" t="s">
        <v>225</v>
      </c>
      <c r="C185">
        <v>95123</v>
      </c>
      <c r="D185" t="str">
        <f>"695-11-045"</f>
        <v>695-11-045</v>
      </c>
      <c r="E185" t="s">
        <v>28</v>
      </c>
      <c r="F185" t="s">
        <v>82</v>
      </c>
      <c r="G185">
        <v>0</v>
      </c>
      <c r="H185">
        <v>8</v>
      </c>
      <c r="I185" s="1">
        <v>0.50719450623264495</v>
      </c>
      <c r="J185" s="24" t="s">
        <v>17</v>
      </c>
      <c r="K185" t="s">
        <v>484</v>
      </c>
      <c r="L185" t="s">
        <v>485</v>
      </c>
      <c r="M185" t="s">
        <v>486</v>
      </c>
      <c r="P185">
        <f>S185</f>
        <v>4</v>
      </c>
      <c r="R185" t="s">
        <v>25</v>
      </c>
      <c r="S185">
        <v>4</v>
      </c>
    </row>
    <row r="186" spans="1:20" x14ac:dyDescent="0.25">
      <c r="A186">
        <v>184</v>
      </c>
      <c r="B186" t="s">
        <v>226</v>
      </c>
      <c r="C186">
        <v>95110</v>
      </c>
      <c r="D186" t="str">
        <f>"230-29-117"</f>
        <v>230-29-117</v>
      </c>
      <c r="E186" t="s">
        <v>59</v>
      </c>
      <c r="F186" t="s">
        <v>7</v>
      </c>
      <c r="G186">
        <v>0</v>
      </c>
      <c r="H186">
        <v>0</v>
      </c>
      <c r="I186" s="1">
        <v>4.9438865639939298</v>
      </c>
      <c r="J186" s="24" t="s">
        <v>17</v>
      </c>
      <c r="K186" t="s">
        <v>484</v>
      </c>
      <c r="L186" t="s">
        <v>485</v>
      </c>
      <c r="M186" t="s">
        <v>486</v>
      </c>
      <c r="Q186">
        <f>S186</f>
        <v>371</v>
      </c>
      <c r="R186" t="s">
        <v>34</v>
      </c>
      <c r="S186">
        <v>371</v>
      </c>
      <c r="T186" t="s">
        <v>619</v>
      </c>
    </row>
    <row r="187" spans="1:20" x14ac:dyDescent="0.25">
      <c r="A187">
        <v>185</v>
      </c>
      <c r="B187" t="s">
        <v>227</v>
      </c>
      <c r="C187">
        <v>95112</v>
      </c>
      <c r="D187" t="str">
        <f>"230-29-088"</f>
        <v>230-29-088</v>
      </c>
      <c r="E187" t="s">
        <v>11</v>
      </c>
      <c r="F187" t="s">
        <v>11</v>
      </c>
      <c r="G187">
        <v>55</v>
      </c>
      <c r="H187">
        <v>250</v>
      </c>
      <c r="I187" s="1">
        <v>3.5566684072400401</v>
      </c>
      <c r="J187" s="24" t="s">
        <v>14</v>
      </c>
      <c r="K187" t="s">
        <v>484</v>
      </c>
      <c r="L187" t="s">
        <v>485</v>
      </c>
      <c r="M187" t="s">
        <v>486</v>
      </c>
      <c r="Q187">
        <f>S187</f>
        <v>178</v>
      </c>
      <c r="R187" t="s">
        <v>34</v>
      </c>
      <c r="S187">
        <v>178</v>
      </c>
    </row>
    <row r="188" spans="1:20" x14ac:dyDescent="0.25">
      <c r="A188">
        <v>186</v>
      </c>
      <c r="B188" t="s">
        <v>228</v>
      </c>
      <c r="C188">
        <v>95124</v>
      </c>
      <c r="D188" t="str">
        <f>"527-33-017"</f>
        <v>527-33-017</v>
      </c>
      <c r="E188" t="s">
        <v>6</v>
      </c>
      <c r="F188" t="s">
        <v>33</v>
      </c>
      <c r="G188">
        <v>0</v>
      </c>
      <c r="H188">
        <v>0</v>
      </c>
      <c r="I188" s="1">
        <v>0.670376001277314</v>
      </c>
      <c r="J188" s="24" t="s">
        <v>12</v>
      </c>
      <c r="K188" t="s">
        <v>484</v>
      </c>
      <c r="L188" t="s">
        <v>485</v>
      </c>
      <c r="M188" t="s">
        <v>486</v>
      </c>
      <c r="N188" s="2" t="s">
        <v>481</v>
      </c>
      <c r="O188">
        <f>S188</f>
        <v>51</v>
      </c>
      <c r="R188" t="s">
        <v>9</v>
      </c>
      <c r="S188">
        <v>51</v>
      </c>
      <c r="T188" s="3" t="s">
        <v>487</v>
      </c>
    </row>
    <row r="189" spans="1:20" x14ac:dyDescent="0.25">
      <c r="A189">
        <v>187</v>
      </c>
      <c r="B189" t="s">
        <v>229</v>
      </c>
      <c r="C189">
        <v>95124</v>
      </c>
      <c r="D189" t="str">
        <f>"527-33-018"</f>
        <v>527-33-018</v>
      </c>
      <c r="E189" t="s">
        <v>6</v>
      </c>
      <c r="F189" t="s">
        <v>33</v>
      </c>
      <c r="G189">
        <v>0</v>
      </c>
      <c r="H189">
        <v>0</v>
      </c>
      <c r="I189" s="1">
        <v>0.50447526213350002</v>
      </c>
      <c r="J189" s="24" t="s">
        <v>48</v>
      </c>
      <c r="K189" t="s">
        <v>484</v>
      </c>
      <c r="L189" t="s">
        <v>485</v>
      </c>
      <c r="M189" t="s">
        <v>486</v>
      </c>
      <c r="N189" s="2" t="s">
        <v>481</v>
      </c>
      <c r="O189">
        <f>S189</f>
        <v>39</v>
      </c>
      <c r="R189" t="s">
        <v>9</v>
      </c>
      <c r="S189">
        <v>39</v>
      </c>
      <c r="T189" s="3" t="s">
        <v>487</v>
      </c>
    </row>
    <row r="190" spans="1:20" x14ac:dyDescent="0.25">
      <c r="A190">
        <v>188</v>
      </c>
      <c r="B190" t="s">
        <v>230</v>
      </c>
      <c r="C190">
        <v>95123</v>
      </c>
      <c r="D190" t="str">
        <f>"690-25-012"</f>
        <v>690-25-012</v>
      </c>
      <c r="E190" t="s">
        <v>6</v>
      </c>
      <c r="F190" t="s">
        <v>33</v>
      </c>
      <c r="G190">
        <v>0</v>
      </c>
      <c r="H190">
        <v>0</v>
      </c>
      <c r="I190" s="1">
        <v>0.65379983423469501</v>
      </c>
      <c r="J190" s="24" t="s">
        <v>12</v>
      </c>
      <c r="K190" t="s">
        <v>484</v>
      </c>
      <c r="L190" t="s">
        <v>485</v>
      </c>
      <c r="M190" t="s">
        <v>486</v>
      </c>
      <c r="N190" s="2" t="s">
        <v>481</v>
      </c>
      <c r="O190">
        <f>S190</f>
        <v>58</v>
      </c>
      <c r="R190" t="s">
        <v>9</v>
      </c>
      <c r="S190">
        <v>58</v>
      </c>
      <c r="T190" t="s">
        <v>488</v>
      </c>
    </row>
    <row r="191" spans="1:20" x14ac:dyDescent="0.25">
      <c r="A191">
        <v>189</v>
      </c>
      <c r="B191" t="s">
        <v>231</v>
      </c>
      <c r="C191">
        <v>95116</v>
      </c>
      <c r="D191" t="str">
        <f>"472-01-035"</f>
        <v>472-01-035</v>
      </c>
      <c r="E191" t="s">
        <v>6</v>
      </c>
      <c r="F191" t="s">
        <v>33</v>
      </c>
      <c r="G191">
        <v>0</v>
      </c>
      <c r="H191">
        <v>95</v>
      </c>
      <c r="I191" s="1">
        <v>0.66387271574807205</v>
      </c>
      <c r="J191" s="24" t="s">
        <v>12</v>
      </c>
      <c r="K191" t="s">
        <v>484</v>
      </c>
      <c r="L191" t="s">
        <v>485</v>
      </c>
      <c r="M191" t="s">
        <v>486</v>
      </c>
      <c r="P191">
        <f>S191</f>
        <v>85</v>
      </c>
      <c r="R191" t="s">
        <v>25</v>
      </c>
      <c r="S191">
        <v>85</v>
      </c>
    </row>
    <row r="192" spans="1:20" x14ac:dyDescent="0.25">
      <c r="A192">
        <v>190</v>
      </c>
      <c r="B192" t="s">
        <v>232</v>
      </c>
      <c r="C192">
        <v>95133</v>
      </c>
      <c r="D192" t="str">
        <f>"254-14-112"</f>
        <v>254-14-112</v>
      </c>
      <c r="E192" t="s">
        <v>11</v>
      </c>
      <c r="F192" t="s">
        <v>11</v>
      </c>
      <c r="G192">
        <v>75</v>
      </c>
      <c r="H192">
        <v>300</v>
      </c>
      <c r="I192" s="1">
        <v>0.55289668739358899</v>
      </c>
      <c r="J192" s="24" t="s">
        <v>12</v>
      </c>
      <c r="K192" t="s">
        <v>484</v>
      </c>
      <c r="L192" t="s">
        <v>485</v>
      </c>
      <c r="M192" t="s">
        <v>486</v>
      </c>
      <c r="Q192">
        <f>S192</f>
        <v>39</v>
      </c>
      <c r="R192" t="s">
        <v>34</v>
      </c>
      <c r="S192">
        <v>39</v>
      </c>
    </row>
    <row r="193" spans="1:20" x14ac:dyDescent="0.25">
      <c r="A193">
        <v>191</v>
      </c>
      <c r="B193" t="s">
        <v>233</v>
      </c>
      <c r="C193">
        <v>95126</v>
      </c>
      <c r="D193" t="str">
        <f>"274-02-047"</f>
        <v>274-02-047</v>
      </c>
      <c r="E193" t="s">
        <v>6</v>
      </c>
      <c r="F193" t="s">
        <v>33</v>
      </c>
      <c r="G193">
        <v>0</v>
      </c>
      <c r="H193">
        <v>0</v>
      </c>
      <c r="I193" s="1">
        <v>0.55871543877419605</v>
      </c>
      <c r="J193" s="24" t="s">
        <v>14</v>
      </c>
      <c r="K193" t="s">
        <v>484</v>
      </c>
      <c r="L193" t="s">
        <v>485</v>
      </c>
      <c r="M193" t="s">
        <v>486</v>
      </c>
      <c r="N193" s="2" t="s">
        <v>481</v>
      </c>
      <c r="O193">
        <f>S193</f>
        <v>48</v>
      </c>
      <c r="R193" t="s">
        <v>9</v>
      </c>
      <c r="S193">
        <v>48</v>
      </c>
      <c r="T193" s="3" t="s">
        <v>487</v>
      </c>
    </row>
    <row r="194" spans="1:20" x14ac:dyDescent="0.25">
      <c r="A194">
        <v>192</v>
      </c>
      <c r="B194" t="s">
        <v>234</v>
      </c>
      <c r="C194">
        <v>95116</v>
      </c>
      <c r="D194" t="str">
        <f>"467-09-067"</f>
        <v>467-09-067</v>
      </c>
      <c r="E194" t="s">
        <v>11</v>
      </c>
      <c r="F194" t="s">
        <v>11</v>
      </c>
      <c r="G194">
        <v>0</v>
      </c>
      <c r="H194">
        <v>250</v>
      </c>
      <c r="I194" s="1">
        <v>0.96579811914443703</v>
      </c>
      <c r="J194" s="24" t="s">
        <v>12</v>
      </c>
      <c r="K194" t="s">
        <v>484</v>
      </c>
      <c r="L194" t="s">
        <v>485</v>
      </c>
      <c r="M194" t="s">
        <v>486</v>
      </c>
      <c r="P194">
        <f>S194</f>
        <v>95</v>
      </c>
      <c r="R194" t="s">
        <v>25</v>
      </c>
      <c r="S194">
        <v>95</v>
      </c>
    </row>
    <row r="195" spans="1:20" ht="30" x14ac:dyDescent="0.25">
      <c r="A195">
        <v>193</v>
      </c>
      <c r="B195" t="s">
        <v>235</v>
      </c>
      <c r="C195">
        <v>95116</v>
      </c>
      <c r="D195" t="str">
        <f>"467-07-055"</f>
        <v>467-07-055</v>
      </c>
      <c r="E195" t="s">
        <v>11</v>
      </c>
      <c r="F195" t="s">
        <v>11</v>
      </c>
      <c r="G195">
        <v>0</v>
      </c>
      <c r="H195">
        <v>250</v>
      </c>
      <c r="I195" s="1">
        <v>0.63871625365192097</v>
      </c>
      <c r="J195" s="24" t="s">
        <v>65</v>
      </c>
      <c r="K195" t="s">
        <v>484</v>
      </c>
      <c r="L195" t="s">
        <v>485</v>
      </c>
      <c r="M195" t="s">
        <v>486</v>
      </c>
      <c r="P195">
        <f>S195</f>
        <v>58</v>
      </c>
      <c r="R195" t="s">
        <v>25</v>
      </c>
      <c r="S195">
        <v>58</v>
      </c>
    </row>
    <row r="196" spans="1:20" x14ac:dyDescent="0.25">
      <c r="A196">
        <v>194</v>
      </c>
      <c r="B196" t="s">
        <v>236</v>
      </c>
      <c r="C196">
        <v>95116</v>
      </c>
      <c r="D196" t="str">
        <f>"467-07-067"</f>
        <v>467-07-067</v>
      </c>
      <c r="E196" t="s">
        <v>11</v>
      </c>
      <c r="F196" t="s">
        <v>11</v>
      </c>
      <c r="G196">
        <v>0</v>
      </c>
      <c r="H196">
        <v>250</v>
      </c>
      <c r="I196" s="1">
        <v>0.70226200157547403</v>
      </c>
      <c r="J196" s="24" t="s">
        <v>237</v>
      </c>
      <c r="K196" t="s">
        <v>484</v>
      </c>
      <c r="L196" t="s">
        <v>485</v>
      </c>
      <c r="M196" t="s">
        <v>486</v>
      </c>
      <c r="P196">
        <f>S196</f>
        <v>87</v>
      </c>
      <c r="R196" t="s">
        <v>25</v>
      </c>
      <c r="S196">
        <v>87</v>
      </c>
    </row>
    <row r="197" spans="1:20" x14ac:dyDescent="0.25">
      <c r="A197">
        <v>195</v>
      </c>
      <c r="B197" t="s">
        <v>238</v>
      </c>
      <c r="C197">
        <v>95126</v>
      </c>
      <c r="D197" t="str">
        <f>"261-42-076"</f>
        <v>261-42-076</v>
      </c>
      <c r="E197" t="s">
        <v>11</v>
      </c>
      <c r="F197" t="s">
        <v>11</v>
      </c>
      <c r="G197">
        <v>55</v>
      </c>
      <c r="H197">
        <v>250</v>
      </c>
      <c r="I197" s="1">
        <v>1.10337318203327</v>
      </c>
      <c r="J197" s="24" t="s">
        <v>12</v>
      </c>
      <c r="K197" t="s">
        <v>484</v>
      </c>
      <c r="L197" t="s">
        <v>485</v>
      </c>
      <c r="M197" t="s">
        <v>486</v>
      </c>
      <c r="N197" s="2" t="s">
        <v>481</v>
      </c>
      <c r="O197">
        <f>S197</f>
        <v>75</v>
      </c>
      <c r="R197" t="s">
        <v>9</v>
      </c>
      <c r="S197">
        <v>75</v>
      </c>
    </row>
    <row r="198" spans="1:20" x14ac:dyDescent="0.25">
      <c r="A198">
        <v>196</v>
      </c>
      <c r="B198" t="s">
        <v>239</v>
      </c>
      <c r="C198">
        <v>95127</v>
      </c>
      <c r="D198" t="str">
        <f>"599-39-095"</f>
        <v>599-39-095</v>
      </c>
      <c r="E198" t="s">
        <v>6</v>
      </c>
      <c r="F198" t="s">
        <v>30</v>
      </c>
      <c r="G198">
        <v>0</v>
      </c>
      <c r="H198">
        <v>0</v>
      </c>
      <c r="I198" s="1">
        <v>0.50294047024426503</v>
      </c>
      <c r="J198" s="24" t="s">
        <v>12</v>
      </c>
      <c r="K198" t="s">
        <v>484</v>
      </c>
      <c r="L198" t="s">
        <v>485</v>
      </c>
      <c r="M198" t="s">
        <v>486</v>
      </c>
      <c r="N198" s="2" t="s">
        <v>481</v>
      </c>
      <c r="O198">
        <f>S198</f>
        <v>50</v>
      </c>
      <c r="R198" t="s">
        <v>9</v>
      </c>
      <c r="S198">
        <v>50</v>
      </c>
      <c r="T198" t="s">
        <v>488</v>
      </c>
    </row>
    <row r="199" spans="1:20" x14ac:dyDescent="0.25">
      <c r="A199">
        <v>197</v>
      </c>
      <c r="B199" t="s">
        <v>240</v>
      </c>
      <c r="C199">
        <v>95128</v>
      </c>
      <c r="D199" t="str">
        <f>"277-22-019"</f>
        <v>277-22-019</v>
      </c>
      <c r="E199" t="s">
        <v>6</v>
      </c>
      <c r="F199" t="s">
        <v>20</v>
      </c>
      <c r="G199">
        <v>0</v>
      </c>
      <c r="H199">
        <v>0</v>
      </c>
      <c r="I199" s="1">
        <v>1.31870595936658</v>
      </c>
      <c r="J199" s="24" t="s">
        <v>12</v>
      </c>
      <c r="K199" t="s">
        <v>484</v>
      </c>
      <c r="L199" t="s">
        <v>485</v>
      </c>
      <c r="M199" t="s">
        <v>486</v>
      </c>
      <c r="N199" s="2" t="s">
        <v>481</v>
      </c>
      <c r="O199">
        <f>S199</f>
        <v>101</v>
      </c>
      <c r="R199" t="s">
        <v>9</v>
      </c>
      <c r="S199">
        <v>101</v>
      </c>
      <c r="T199" t="s">
        <v>488</v>
      </c>
    </row>
    <row r="200" spans="1:20" x14ac:dyDescent="0.25">
      <c r="A200">
        <v>198</v>
      </c>
      <c r="B200" t="s">
        <v>241</v>
      </c>
      <c r="C200">
        <v>95132</v>
      </c>
      <c r="D200" t="str">
        <f>"244-06-009"</f>
        <v>244-06-009</v>
      </c>
      <c r="E200" t="s">
        <v>6</v>
      </c>
      <c r="F200" t="s">
        <v>33</v>
      </c>
      <c r="G200">
        <v>0</v>
      </c>
      <c r="H200">
        <v>0</v>
      </c>
      <c r="I200" s="1">
        <v>0.65991101546334896</v>
      </c>
      <c r="J200" s="24" t="s">
        <v>12</v>
      </c>
      <c r="K200" t="s">
        <v>484</v>
      </c>
      <c r="L200" t="s">
        <v>485</v>
      </c>
      <c r="M200" t="s">
        <v>486</v>
      </c>
      <c r="N200" s="2" t="s">
        <v>481</v>
      </c>
      <c r="O200">
        <f>S200</f>
        <v>57</v>
      </c>
      <c r="R200" t="s">
        <v>9</v>
      </c>
      <c r="S200">
        <v>57</v>
      </c>
      <c r="T200" t="s">
        <v>488</v>
      </c>
    </row>
    <row r="201" spans="1:20" x14ac:dyDescent="0.25">
      <c r="A201">
        <v>199</v>
      </c>
      <c r="B201" t="s">
        <v>242</v>
      </c>
      <c r="C201">
        <v>95118</v>
      </c>
      <c r="D201" t="str">
        <f>"569-45-063"</f>
        <v>569-45-063</v>
      </c>
      <c r="E201" t="s">
        <v>6</v>
      </c>
      <c r="F201" t="s">
        <v>33</v>
      </c>
      <c r="G201">
        <v>0</v>
      </c>
      <c r="H201">
        <v>0</v>
      </c>
      <c r="I201" s="1">
        <v>0.81873937175324396</v>
      </c>
      <c r="J201" s="24" t="s">
        <v>12</v>
      </c>
      <c r="K201" t="s">
        <v>484</v>
      </c>
      <c r="L201" t="s">
        <v>485</v>
      </c>
      <c r="M201" t="s">
        <v>486</v>
      </c>
      <c r="N201" s="2" t="s">
        <v>481</v>
      </c>
      <c r="O201">
        <f>S201</f>
        <v>62</v>
      </c>
      <c r="R201" t="s">
        <v>9</v>
      </c>
      <c r="S201">
        <v>62</v>
      </c>
      <c r="T201" s="3" t="s">
        <v>487</v>
      </c>
    </row>
    <row r="202" spans="1:20" x14ac:dyDescent="0.25">
      <c r="A202">
        <v>200</v>
      </c>
      <c r="B202" t="s">
        <v>243</v>
      </c>
      <c r="C202">
        <v>95112</v>
      </c>
      <c r="D202" t="str">
        <f>"249-02-073"</f>
        <v>249-02-073</v>
      </c>
      <c r="E202" t="s">
        <v>244</v>
      </c>
      <c r="F202" t="s">
        <v>244</v>
      </c>
      <c r="G202">
        <v>50</v>
      </c>
      <c r="H202">
        <v>250</v>
      </c>
      <c r="I202" s="1">
        <v>0.62547488192382195</v>
      </c>
      <c r="J202" s="24" t="s">
        <v>14</v>
      </c>
      <c r="K202" t="s">
        <v>484</v>
      </c>
      <c r="L202" t="s">
        <v>485</v>
      </c>
      <c r="M202" t="s">
        <v>486</v>
      </c>
      <c r="Q202">
        <f>S202</f>
        <v>80</v>
      </c>
      <c r="R202" t="s">
        <v>34</v>
      </c>
      <c r="S202">
        <v>80</v>
      </c>
    </row>
    <row r="203" spans="1:20" ht="30" x14ac:dyDescent="0.25">
      <c r="A203">
        <v>201</v>
      </c>
      <c r="B203" t="s">
        <v>245</v>
      </c>
      <c r="C203">
        <v>95112</v>
      </c>
      <c r="D203" t="str">
        <f>"249-05-058"</f>
        <v>249-05-058</v>
      </c>
      <c r="E203" t="s">
        <v>42</v>
      </c>
      <c r="F203" t="s">
        <v>42</v>
      </c>
      <c r="G203">
        <v>0</v>
      </c>
      <c r="H203">
        <v>30</v>
      </c>
      <c r="I203" s="1">
        <v>0.49651907074483398</v>
      </c>
      <c r="J203" s="24" t="s">
        <v>65</v>
      </c>
      <c r="K203" t="s">
        <v>484</v>
      </c>
      <c r="L203" t="s">
        <v>485</v>
      </c>
      <c r="M203" t="s">
        <v>486</v>
      </c>
      <c r="P203">
        <f>S203</f>
        <v>15</v>
      </c>
      <c r="R203" t="s">
        <v>25</v>
      </c>
      <c r="S203">
        <v>15</v>
      </c>
    </row>
    <row r="204" spans="1:20" x14ac:dyDescent="0.25">
      <c r="A204">
        <v>202</v>
      </c>
      <c r="B204" t="s">
        <v>246</v>
      </c>
      <c r="C204">
        <v>95112</v>
      </c>
      <c r="D204" t="str">
        <f>"249-08-009"</f>
        <v>249-08-009</v>
      </c>
      <c r="E204" t="s">
        <v>42</v>
      </c>
      <c r="F204" t="s">
        <v>42</v>
      </c>
      <c r="G204">
        <v>0</v>
      </c>
      <c r="H204">
        <v>30</v>
      </c>
      <c r="I204" s="1">
        <v>0.54402662753003606</v>
      </c>
      <c r="J204" s="24" t="s">
        <v>12</v>
      </c>
      <c r="K204" t="s">
        <v>484</v>
      </c>
      <c r="L204" t="s">
        <v>485</v>
      </c>
      <c r="M204" t="s">
        <v>486</v>
      </c>
      <c r="P204">
        <f>S204</f>
        <v>11</v>
      </c>
      <c r="R204" t="s">
        <v>25</v>
      </c>
      <c r="S204">
        <v>11</v>
      </c>
    </row>
    <row r="205" spans="1:20" x14ac:dyDescent="0.25">
      <c r="A205">
        <v>203</v>
      </c>
      <c r="B205" t="s">
        <v>247</v>
      </c>
      <c r="C205">
        <v>95112</v>
      </c>
      <c r="D205" t="str">
        <f>"249-08-034"</f>
        <v>249-08-034</v>
      </c>
      <c r="E205" t="s">
        <v>42</v>
      </c>
      <c r="F205" t="s">
        <v>42</v>
      </c>
      <c r="G205">
        <v>0</v>
      </c>
      <c r="H205">
        <v>30</v>
      </c>
      <c r="I205" s="1">
        <v>1.37828092253348</v>
      </c>
      <c r="J205" s="24" t="s">
        <v>12</v>
      </c>
      <c r="K205" t="s">
        <v>484</v>
      </c>
      <c r="L205" t="s">
        <v>485</v>
      </c>
      <c r="M205" t="s">
        <v>486</v>
      </c>
      <c r="Q205">
        <f>S205</f>
        <v>35</v>
      </c>
      <c r="R205" t="s">
        <v>34</v>
      </c>
      <c r="S205">
        <v>35</v>
      </c>
    </row>
    <row r="206" spans="1:20" ht="30" x14ac:dyDescent="0.25">
      <c r="A206">
        <v>204</v>
      </c>
      <c r="B206" t="s">
        <v>248</v>
      </c>
      <c r="C206">
        <v>95112</v>
      </c>
      <c r="D206" t="str">
        <f>"249-09-004"</f>
        <v>249-09-004</v>
      </c>
      <c r="E206" t="s">
        <v>42</v>
      </c>
      <c r="F206" t="s">
        <v>42</v>
      </c>
      <c r="G206">
        <v>0</v>
      </c>
      <c r="H206">
        <v>30</v>
      </c>
      <c r="I206" s="1">
        <v>0.57187374912528799</v>
      </c>
      <c r="J206" s="24" t="s">
        <v>65</v>
      </c>
      <c r="K206" t="s">
        <v>484</v>
      </c>
      <c r="L206" t="s">
        <v>485</v>
      </c>
      <c r="M206" t="s">
        <v>486</v>
      </c>
      <c r="N206" t="s">
        <v>483</v>
      </c>
      <c r="O206">
        <f>S206</f>
        <v>17</v>
      </c>
      <c r="R206" t="s">
        <v>9</v>
      </c>
      <c r="S206">
        <v>17</v>
      </c>
    </row>
    <row r="207" spans="1:20" ht="30" x14ac:dyDescent="0.25">
      <c r="A207">
        <v>205</v>
      </c>
      <c r="B207" t="s">
        <v>249</v>
      </c>
      <c r="C207">
        <v>95112</v>
      </c>
      <c r="D207" t="str">
        <f>"249-10-017"</f>
        <v>249-10-017</v>
      </c>
      <c r="E207" t="s">
        <v>37</v>
      </c>
      <c r="F207" t="s">
        <v>37</v>
      </c>
      <c r="G207">
        <v>0</v>
      </c>
      <c r="H207">
        <v>50</v>
      </c>
      <c r="I207" s="1">
        <v>1.00743367934483</v>
      </c>
      <c r="J207" s="24" t="s">
        <v>65</v>
      </c>
      <c r="K207" t="s">
        <v>484</v>
      </c>
      <c r="L207" t="s">
        <v>485</v>
      </c>
      <c r="M207" t="s">
        <v>486</v>
      </c>
      <c r="N207" s="2" t="s">
        <v>481</v>
      </c>
      <c r="O207">
        <f>S207</f>
        <v>61</v>
      </c>
      <c r="R207" t="s">
        <v>9</v>
      </c>
      <c r="S207">
        <v>61</v>
      </c>
    </row>
    <row r="208" spans="1:20" x14ac:dyDescent="0.25">
      <c r="A208">
        <v>206</v>
      </c>
      <c r="B208" t="s">
        <v>250</v>
      </c>
      <c r="C208">
        <v>95127</v>
      </c>
      <c r="D208" t="str">
        <f>"484-44-061"</f>
        <v>484-44-061</v>
      </c>
      <c r="E208" t="s">
        <v>6</v>
      </c>
      <c r="F208" t="s">
        <v>33</v>
      </c>
      <c r="G208">
        <v>0</v>
      </c>
      <c r="H208">
        <v>0</v>
      </c>
      <c r="I208" s="1">
        <v>1.88762450531198</v>
      </c>
      <c r="J208" s="24" t="s">
        <v>251</v>
      </c>
      <c r="K208" t="s">
        <v>484</v>
      </c>
      <c r="L208" t="s">
        <v>485</v>
      </c>
      <c r="M208" t="s">
        <v>486</v>
      </c>
      <c r="N208" t="s">
        <v>483</v>
      </c>
      <c r="O208">
        <f>S208</f>
        <v>200</v>
      </c>
      <c r="R208" t="s">
        <v>9</v>
      </c>
      <c r="S208">
        <v>200</v>
      </c>
      <c r="T208" t="s">
        <v>488</v>
      </c>
    </row>
    <row r="209" spans="1:19" x14ac:dyDescent="0.25">
      <c r="A209">
        <v>207</v>
      </c>
      <c r="B209" t="s">
        <v>252</v>
      </c>
      <c r="C209">
        <v>95117</v>
      </c>
      <c r="D209" t="str">
        <f>"299-01-014"</f>
        <v>299-01-014</v>
      </c>
      <c r="E209" t="s">
        <v>11</v>
      </c>
      <c r="F209" t="s">
        <v>11</v>
      </c>
      <c r="G209">
        <v>65</v>
      </c>
      <c r="H209">
        <v>250</v>
      </c>
      <c r="I209" s="1">
        <v>0.27380528920379299</v>
      </c>
      <c r="J209" s="24" t="s">
        <v>12</v>
      </c>
      <c r="K209" t="s">
        <v>484</v>
      </c>
      <c r="L209" t="s">
        <v>485</v>
      </c>
      <c r="M209" t="s">
        <v>486</v>
      </c>
      <c r="P209">
        <f>S209</f>
        <v>46</v>
      </c>
      <c r="R209" t="s">
        <v>25</v>
      </c>
      <c r="S209">
        <v>46</v>
      </c>
    </row>
    <row r="210" spans="1:19" x14ac:dyDescent="0.25">
      <c r="A210">
        <v>208</v>
      </c>
      <c r="B210" t="s">
        <v>253</v>
      </c>
      <c r="C210">
        <v>95117</v>
      </c>
      <c r="D210" t="str">
        <f>"299-32-074"</f>
        <v>299-32-074</v>
      </c>
      <c r="E210" t="s">
        <v>254</v>
      </c>
      <c r="F210" t="s">
        <v>62</v>
      </c>
      <c r="G210">
        <v>0</v>
      </c>
      <c r="H210">
        <v>0</v>
      </c>
      <c r="I210" s="1">
        <v>0.49441099716256598</v>
      </c>
      <c r="J210" s="24" t="s">
        <v>14</v>
      </c>
      <c r="K210" t="s">
        <v>484</v>
      </c>
      <c r="L210" t="s">
        <v>489</v>
      </c>
      <c r="M210" t="s">
        <v>486</v>
      </c>
      <c r="N210" s="2" t="s">
        <v>481</v>
      </c>
      <c r="O210">
        <f>S210</f>
        <v>51</v>
      </c>
      <c r="R210" t="s">
        <v>9</v>
      </c>
      <c r="S210">
        <v>51</v>
      </c>
    </row>
    <row r="211" spans="1:19" x14ac:dyDescent="0.25">
      <c r="A211">
        <v>209</v>
      </c>
      <c r="B211" t="s">
        <v>255</v>
      </c>
      <c r="C211">
        <v>95110</v>
      </c>
      <c r="D211" t="str">
        <f>"259-05-068"</f>
        <v>259-05-068</v>
      </c>
      <c r="E211" t="s">
        <v>244</v>
      </c>
      <c r="F211" t="s">
        <v>244</v>
      </c>
      <c r="G211">
        <v>50</v>
      </c>
      <c r="H211">
        <v>250</v>
      </c>
      <c r="I211" s="1">
        <v>0.89157097678380104</v>
      </c>
      <c r="J211" s="24" t="s">
        <v>14</v>
      </c>
      <c r="K211" t="s">
        <v>484</v>
      </c>
      <c r="L211" t="s">
        <v>485</v>
      </c>
      <c r="M211" t="s">
        <v>486</v>
      </c>
      <c r="Q211">
        <f>S211</f>
        <v>119</v>
      </c>
      <c r="R211" t="s">
        <v>34</v>
      </c>
      <c r="S211">
        <v>119</v>
      </c>
    </row>
    <row r="212" spans="1:19" x14ac:dyDescent="0.25">
      <c r="A212">
        <v>210</v>
      </c>
      <c r="B212" t="s">
        <v>256</v>
      </c>
      <c r="C212">
        <v>95110</v>
      </c>
      <c r="D212" t="str">
        <f>"259-25-021"</f>
        <v>259-25-021</v>
      </c>
      <c r="E212" t="s">
        <v>23</v>
      </c>
      <c r="F212" t="s">
        <v>56</v>
      </c>
      <c r="G212">
        <v>0</v>
      </c>
      <c r="H212">
        <v>800</v>
      </c>
      <c r="I212" s="1">
        <v>0.16278697274083601</v>
      </c>
      <c r="J212" s="24" t="s">
        <v>12</v>
      </c>
      <c r="K212" t="s">
        <v>484</v>
      </c>
      <c r="L212" t="s">
        <v>485</v>
      </c>
      <c r="M212" t="s">
        <v>486</v>
      </c>
      <c r="P212">
        <f>S212</f>
        <v>60</v>
      </c>
      <c r="R212" t="s">
        <v>25</v>
      </c>
      <c r="S212">
        <v>60</v>
      </c>
    </row>
    <row r="213" spans="1:19" x14ac:dyDescent="0.25">
      <c r="A213">
        <v>211</v>
      </c>
      <c r="B213" t="s">
        <v>257</v>
      </c>
      <c r="C213">
        <v>95110</v>
      </c>
      <c r="D213" t="str">
        <f>"259-29-091"</f>
        <v>259-29-091</v>
      </c>
      <c r="E213" t="s">
        <v>23</v>
      </c>
      <c r="F213" t="s">
        <v>56</v>
      </c>
      <c r="G213">
        <v>0</v>
      </c>
      <c r="H213">
        <v>800</v>
      </c>
      <c r="I213" s="1">
        <v>0.448596269253286</v>
      </c>
      <c r="J213" s="24" t="s">
        <v>12</v>
      </c>
      <c r="K213" t="s">
        <v>484</v>
      </c>
      <c r="L213" t="s">
        <v>485</v>
      </c>
      <c r="M213" t="s">
        <v>486</v>
      </c>
      <c r="P213">
        <f>S213</f>
        <v>152</v>
      </c>
      <c r="R213" t="s">
        <v>25</v>
      </c>
      <c r="S213">
        <v>152</v>
      </c>
    </row>
    <row r="214" spans="1:19" x14ac:dyDescent="0.25">
      <c r="A214">
        <v>212</v>
      </c>
      <c r="B214" t="s">
        <v>258</v>
      </c>
      <c r="C214">
        <v>95110</v>
      </c>
      <c r="D214" t="str">
        <f>"259-29-003"</f>
        <v>259-29-003</v>
      </c>
      <c r="E214" t="s">
        <v>23</v>
      </c>
      <c r="F214" t="s">
        <v>56</v>
      </c>
      <c r="G214">
        <v>0</v>
      </c>
      <c r="H214">
        <v>800</v>
      </c>
      <c r="I214" s="1">
        <v>0.162188176068426</v>
      </c>
      <c r="J214" s="24" t="s">
        <v>17</v>
      </c>
      <c r="K214" t="s">
        <v>484</v>
      </c>
      <c r="L214" t="s">
        <v>485</v>
      </c>
      <c r="M214" t="s">
        <v>486</v>
      </c>
      <c r="P214">
        <f>S214</f>
        <v>56</v>
      </c>
      <c r="R214" t="s">
        <v>25</v>
      </c>
      <c r="S214">
        <v>56</v>
      </c>
    </row>
    <row r="215" spans="1:19" x14ac:dyDescent="0.25">
      <c r="A215">
        <v>213</v>
      </c>
      <c r="B215" t="s">
        <v>259</v>
      </c>
      <c r="C215">
        <v>95110</v>
      </c>
      <c r="D215" t="str">
        <f>"259-29-006"</f>
        <v>259-29-006</v>
      </c>
      <c r="E215" t="s">
        <v>23</v>
      </c>
      <c r="F215" t="s">
        <v>56</v>
      </c>
      <c r="G215">
        <v>0</v>
      </c>
      <c r="H215">
        <v>800</v>
      </c>
      <c r="I215" s="1">
        <v>0.16003426863887399</v>
      </c>
      <c r="J215" s="24" t="s">
        <v>8</v>
      </c>
      <c r="K215" t="s">
        <v>484</v>
      </c>
      <c r="L215" t="s">
        <v>485</v>
      </c>
      <c r="M215" t="s">
        <v>486</v>
      </c>
      <c r="P215">
        <f>S215</f>
        <v>58</v>
      </c>
      <c r="R215" t="s">
        <v>25</v>
      </c>
      <c r="S215">
        <v>58</v>
      </c>
    </row>
    <row r="216" spans="1:19" x14ac:dyDescent="0.25">
      <c r="A216">
        <v>214</v>
      </c>
      <c r="B216" t="s">
        <v>260</v>
      </c>
      <c r="C216">
        <v>95110</v>
      </c>
      <c r="D216" t="str">
        <f>"259-29-007"</f>
        <v>259-29-007</v>
      </c>
      <c r="E216" t="s">
        <v>23</v>
      </c>
      <c r="F216" t="s">
        <v>56</v>
      </c>
      <c r="G216">
        <v>0</v>
      </c>
      <c r="H216">
        <v>800</v>
      </c>
      <c r="I216" s="1">
        <v>0.16832091785078801</v>
      </c>
      <c r="J216" s="24" t="s">
        <v>12</v>
      </c>
      <c r="K216" t="s">
        <v>484</v>
      </c>
      <c r="L216" t="s">
        <v>485</v>
      </c>
      <c r="M216" t="s">
        <v>486</v>
      </c>
      <c r="P216">
        <f>S216</f>
        <v>62</v>
      </c>
      <c r="R216" t="s">
        <v>25</v>
      </c>
      <c r="S216">
        <v>62</v>
      </c>
    </row>
    <row r="217" spans="1:19" ht="30" x14ac:dyDescent="0.25">
      <c r="A217">
        <v>215</v>
      </c>
      <c r="B217" t="s">
        <v>261</v>
      </c>
      <c r="C217">
        <v>95110</v>
      </c>
      <c r="D217" t="str">
        <f>"259-29-103"</f>
        <v>259-29-103</v>
      </c>
      <c r="E217" t="s">
        <v>23</v>
      </c>
      <c r="F217" t="s">
        <v>56</v>
      </c>
      <c r="G217">
        <v>0</v>
      </c>
      <c r="H217">
        <v>800</v>
      </c>
      <c r="I217" s="1">
        <v>0.34758720609575799</v>
      </c>
      <c r="J217" s="24" t="s">
        <v>65</v>
      </c>
      <c r="K217" t="s">
        <v>484</v>
      </c>
      <c r="L217" t="s">
        <v>489</v>
      </c>
      <c r="M217" t="s">
        <v>486</v>
      </c>
      <c r="N217" s="2" t="s">
        <v>481</v>
      </c>
      <c r="O217">
        <f>S217</f>
        <v>143</v>
      </c>
      <c r="R217" t="s">
        <v>9</v>
      </c>
      <c r="S217">
        <v>143</v>
      </c>
    </row>
    <row r="218" spans="1:19" ht="30" x14ac:dyDescent="0.25">
      <c r="A218">
        <v>216</v>
      </c>
      <c r="B218" t="s">
        <v>262</v>
      </c>
      <c r="C218">
        <v>95110</v>
      </c>
      <c r="D218" t="str">
        <f>"259-29-012"</f>
        <v>259-29-012</v>
      </c>
      <c r="E218" t="s">
        <v>23</v>
      </c>
      <c r="F218" t="s">
        <v>56</v>
      </c>
      <c r="G218">
        <v>0</v>
      </c>
      <c r="H218">
        <v>800</v>
      </c>
      <c r="I218" s="1">
        <v>0.136516899193245</v>
      </c>
      <c r="J218" s="24" t="s">
        <v>263</v>
      </c>
      <c r="K218" t="s">
        <v>484</v>
      </c>
      <c r="L218" t="s">
        <v>489</v>
      </c>
      <c r="M218" t="s">
        <v>486</v>
      </c>
      <c r="N218" s="2" t="s">
        <v>481</v>
      </c>
      <c r="O218">
        <f>S218</f>
        <v>27</v>
      </c>
      <c r="R218" t="s">
        <v>9</v>
      </c>
      <c r="S218">
        <v>27</v>
      </c>
    </row>
    <row r="219" spans="1:19" x14ac:dyDescent="0.25">
      <c r="A219">
        <v>217</v>
      </c>
      <c r="B219" t="s">
        <v>264</v>
      </c>
      <c r="C219">
        <v>95110</v>
      </c>
      <c r="D219" t="str">
        <f>"259-31-067"</f>
        <v>259-31-067</v>
      </c>
      <c r="E219" t="s">
        <v>23</v>
      </c>
      <c r="F219" t="s">
        <v>56</v>
      </c>
      <c r="G219">
        <v>0</v>
      </c>
      <c r="H219">
        <v>800</v>
      </c>
      <c r="I219" s="1">
        <v>0.55890078187430103</v>
      </c>
      <c r="J219" s="24" t="s">
        <v>17</v>
      </c>
      <c r="K219" t="s">
        <v>484</v>
      </c>
      <c r="L219" t="s">
        <v>485</v>
      </c>
      <c r="M219" t="s">
        <v>486</v>
      </c>
      <c r="N219" s="2" t="s">
        <v>481</v>
      </c>
      <c r="O219">
        <f>S219</f>
        <v>92</v>
      </c>
      <c r="R219" t="s">
        <v>9</v>
      </c>
      <c r="S219">
        <v>92</v>
      </c>
    </row>
    <row r="220" spans="1:19" x14ac:dyDescent="0.25">
      <c r="A220">
        <v>218</v>
      </c>
      <c r="B220" t="s">
        <v>265</v>
      </c>
      <c r="C220">
        <v>95110</v>
      </c>
      <c r="D220" t="str">
        <f>"259-46-044"</f>
        <v>259-46-044</v>
      </c>
      <c r="E220" t="s">
        <v>23</v>
      </c>
      <c r="F220" t="s">
        <v>56</v>
      </c>
      <c r="G220">
        <v>0</v>
      </c>
      <c r="H220">
        <v>800</v>
      </c>
      <c r="I220" s="1">
        <v>0.138436130072145</v>
      </c>
      <c r="J220" s="24" t="s">
        <v>17</v>
      </c>
      <c r="K220" t="s">
        <v>484</v>
      </c>
      <c r="L220" t="s">
        <v>485</v>
      </c>
      <c r="M220" t="s">
        <v>486</v>
      </c>
      <c r="P220">
        <f>S220</f>
        <v>57</v>
      </c>
      <c r="R220" t="s">
        <v>25</v>
      </c>
      <c r="S220">
        <v>57</v>
      </c>
    </row>
    <row r="221" spans="1:19" x14ac:dyDescent="0.25">
      <c r="A221">
        <v>219</v>
      </c>
      <c r="B221" t="s">
        <v>266</v>
      </c>
      <c r="C221">
        <v>95110</v>
      </c>
      <c r="D221" t="str">
        <f>"259-46-045"</f>
        <v>259-46-045</v>
      </c>
      <c r="E221" t="s">
        <v>23</v>
      </c>
      <c r="F221" t="s">
        <v>56</v>
      </c>
      <c r="G221">
        <v>0</v>
      </c>
      <c r="H221">
        <v>800</v>
      </c>
      <c r="I221" s="1">
        <v>0.14545942661569999</v>
      </c>
      <c r="J221" s="24" t="s">
        <v>17</v>
      </c>
      <c r="K221" t="s">
        <v>484</v>
      </c>
      <c r="L221" t="s">
        <v>485</v>
      </c>
      <c r="M221" t="s">
        <v>486</v>
      </c>
      <c r="P221">
        <f>S221</f>
        <v>60</v>
      </c>
      <c r="R221" t="s">
        <v>25</v>
      </c>
      <c r="S221">
        <v>60</v>
      </c>
    </row>
    <row r="222" spans="1:19" x14ac:dyDescent="0.25">
      <c r="A222">
        <v>220</v>
      </c>
      <c r="B222" t="s">
        <v>267</v>
      </c>
      <c r="C222">
        <v>95110</v>
      </c>
      <c r="D222" t="str">
        <f>"259-46-046"</f>
        <v>259-46-046</v>
      </c>
      <c r="E222" t="s">
        <v>23</v>
      </c>
      <c r="F222" t="s">
        <v>56</v>
      </c>
      <c r="G222">
        <v>0</v>
      </c>
      <c r="H222">
        <v>800</v>
      </c>
      <c r="I222" s="1">
        <v>0.142383906255202</v>
      </c>
      <c r="J222" s="24" t="s">
        <v>17</v>
      </c>
      <c r="K222" t="s">
        <v>484</v>
      </c>
      <c r="L222" t="s">
        <v>485</v>
      </c>
      <c r="M222" t="s">
        <v>486</v>
      </c>
      <c r="P222">
        <f>S222</f>
        <v>58</v>
      </c>
      <c r="R222" t="s">
        <v>25</v>
      </c>
      <c r="S222">
        <v>58</v>
      </c>
    </row>
    <row r="223" spans="1:19" x14ac:dyDescent="0.25">
      <c r="A223">
        <v>221</v>
      </c>
      <c r="B223" t="s">
        <v>268</v>
      </c>
      <c r="C223">
        <v>95110</v>
      </c>
      <c r="D223" t="str">
        <f>"259-46-066"</f>
        <v>259-46-066</v>
      </c>
      <c r="E223" t="s">
        <v>23</v>
      </c>
      <c r="F223" t="s">
        <v>56</v>
      </c>
      <c r="G223">
        <v>0</v>
      </c>
      <c r="H223">
        <v>800</v>
      </c>
      <c r="I223" s="1">
        <v>0.14290269805866199</v>
      </c>
      <c r="J223" s="24" t="s">
        <v>17</v>
      </c>
      <c r="K223" t="s">
        <v>484</v>
      </c>
      <c r="L223" t="s">
        <v>485</v>
      </c>
      <c r="M223" t="s">
        <v>486</v>
      </c>
      <c r="P223">
        <f>S223</f>
        <v>58</v>
      </c>
      <c r="R223" t="s">
        <v>25</v>
      </c>
      <c r="S223">
        <v>58</v>
      </c>
    </row>
    <row r="224" spans="1:19" x14ac:dyDescent="0.25">
      <c r="A224">
        <v>222</v>
      </c>
      <c r="B224" t="s">
        <v>269</v>
      </c>
      <c r="C224">
        <v>95110</v>
      </c>
      <c r="D224" t="str">
        <f>"259-46-067"</f>
        <v>259-46-067</v>
      </c>
      <c r="E224" t="s">
        <v>23</v>
      </c>
      <c r="F224" t="s">
        <v>56</v>
      </c>
      <c r="G224">
        <v>0</v>
      </c>
      <c r="H224">
        <v>800</v>
      </c>
      <c r="I224" s="1">
        <v>0.10214240254548999</v>
      </c>
      <c r="J224" s="24" t="s">
        <v>17</v>
      </c>
      <c r="K224" t="s">
        <v>484</v>
      </c>
      <c r="L224" t="s">
        <v>485</v>
      </c>
      <c r="M224" t="s">
        <v>486</v>
      </c>
      <c r="P224">
        <f>S224</f>
        <v>20</v>
      </c>
      <c r="R224" t="s">
        <v>25</v>
      </c>
      <c r="S224">
        <v>20</v>
      </c>
    </row>
    <row r="225" spans="1:19" x14ac:dyDescent="0.25">
      <c r="A225">
        <v>223</v>
      </c>
      <c r="B225" t="s">
        <v>270</v>
      </c>
      <c r="C225">
        <v>95110</v>
      </c>
      <c r="D225" t="str">
        <f>"259-46-068"</f>
        <v>259-46-068</v>
      </c>
      <c r="E225" t="s">
        <v>23</v>
      </c>
      <c r="F225" t="s">
        <v>56</v>
      </c>
      <c r="G225">
        <v>0</v>
      </c>
      <c r="H225">
        <v>800</v>
      </c>
      <c r="I225" s="1">
        <v>8.7567037287332603E-2</v>
      </c>
      <c r="J225" s="24" t="s">
        <v>12</v>
      </c>
      <c r="K225" t="s">
        <v>484</v>
      </c>
      <c r="L225" t="s">
        <v>485</v>
      </c>
      <c r="M225" t="s">
        <v>486</v>
      </c>
      <c r="P225">
        <f>S225</f>
        <v>16</v>
      </c>
      <c r="R225" t="s">
        <v>25</v>
      </c>
      <c r="S225">
        <v>16</v>
      </c>
    </row>
    <row r="226" spans="1:19" x14ac:dyDescent="0.25">
      <c r="A226">
        <v>224</v>
      </c>
      <c r="B226" t="s">
        <v>271</v>
      </c>
      <c r="C226">
        <v>95110</v>
      </c>
      <c r="D226" t="str">
        <f>"259-46-095"</f>
        <v>259-46-095</v>
      </c>
      <c r="E226" t="s">
        <v>23</v>
      </c>
      <c r="F226" t="s">
        <v>56</v>
      </c>
      <c r="G226">
        <v>0</v>
      </c>
      <c r="H226">
        <v>800</v>
      </c>
      <c r="I226" s="1">
        <v>0.153374756128483</v>
      </c>
      <c r="J226" s="24" t="s">
        <v>17</v>
      </c>
      <c r="K226" t="s">
        <v>484</v>
      </c>
      <c r="L226" t="s">
        <v>485</v>
      </c>
      <c r="M226" t="s">
        <v>486</v>
      </c>
      <c r="P226">
        <f>S226</f>
        <v>63</v>
      </c>
      <c r="R226" t="s">
        <v>25</v>
      </c>
      <c r="S226">
        <v>63</v>
      </c>
    </row>
    <row r="227" spans="1:19" x14ac:dyDescent="0.25">
      <c r="A227">
        <v>225</v>
      </c>
      <c r="B227" t="s">
        <v>272</v>
      </c>
      <c r="C227">
        <v>95110</v>
      </c>
      <c r="D227" t="str">
        <f>"259-46-089"</f>
        <v>259-46-089</v>
      </c>
      <c r="E227" t="s">
        <v>23</v>
      </c>
      <c r="F227" t="s">
        <v>56</v>
      </c>
      <c r="G227">
        <v>0</v>
      </c>
      <c r="H227">
        <v>800</v>
      </c>
      <c r="I227" s="1">
        <v>0.142846935619934</v>
      </c>
      <c r="J227" s="24" t="s">
        <v>17</v>
      </c>
      <c r="K227" t="s">
        <v>484</v>
      </c>
      <c r="L227" t="s">
        <v>485</v>
      </c>
      <c r="M227" t="s">
        <v>486</v>
      </c>
      <c r="P227">
        <f>S227</f>
        <v>58</v>
      </c>
      <c r="R227" t="s">
        <v>25</v>
      </c>
      <c r="S227">
        <v>58</v>
      </c>
    </row>
    <row r="228" spans="1:19" x14ac:dyDescent="0.25">
      <c r="A228">
        <v>226</v>
      </c>
      <c r="B228" t="s">
        <v>273</v>
      </c>
      <c r="C228">
        <v>95110</v>
      </c>
      <c r="D228" t="str">
        <f>"259-46-090"</f>
        <v>259-46-090</v>
      </c>
      <c r="E228" t="s">
        <v>23</v>
      </c>
      <c r="F228" t="s">
        <v>56</v>
      </c>
      <c r="G228">
        <v>0</v>
      </c>
      <c r="H228">
        <v>800</v>
      </c>
      <c r="I228" s="1">
        <v>0.14347815366541899</v>
      </c>
      <c r="J228" s="24" t="s">
        <v>17</v>
      </c>
      <c r="K228" t="s">
        <v>484</v>
      </c>
      <c r="L228" t="s">
        <v>485</v>
      </c>
      <c r="M228" t="s">
        <v>486</v>
      </c>
      <c r="P228">
        <f>S228</f>
        <v>59</v>
      </c>
      <c r="R228" t="s">
        <v>25</v>
      </c>
      <c r="S228">
        <v>59</v>
      </c>
    </row>
    <row r="229" spans="1:19" x14ac:dyDescent="0.25">
      <c r="A229">
        <v>227</v>
      </c>
      <c r="B229" t="s">
        <v>274</v>
      </c>
      <c r="C229">
        <v>95110</v>
      </c>
      <c r="D229" t="str">
        <f>"259-46-055"</f>
        <v>259-46-055</v>
      </c>
      <c r="E229" t="s">
        <v>23</v>
      </c>
      <c r="F229" t="s">
        <v>56</v>
      </c>
      <c r="G229">
        <v>0</v>
      </c>
      <c r="H229">
        <v>800</v>
      </c>
      <c r="I229" s="1">
        <v>0.13700220234949101</v>
      </c>
      <c r="J229" s="24" t="s">
        <v>17</v>
      </c>
      <c r="K229" t="s">
        <v>484</v>
      </c>
      <c r="L229" t="s">
        <v>485</v>
      </c>
      <c r="M229" t="s">
        <v>486</v>
      </c>
      <c r="P229">
        <f>S229</f>
        <v>56</v>
      </c>
      <c r="R229" t="s">
        <v>25</v>
      </c>
      <c r="S229">
        <v>56</v>
      </c>
    </row>
    <row r="230" spans="1:19" x14ac:dyDescent="0.25">
      <c r="A230">
        <v>228</v>
      </c>
      <c r="B230" t="s">
        <v>275</v>
      </c>
      <c r="C230">
        <v>95110</v>
      </c>
      <c r="D230" t="str">
        <f>"259-46-056"</f>
        <v>259-46-056</v>
      </c>
      <c r="E230" t="s">
        <v>23</v>
      </c>
      <c r="F230" t="s">
        <v>56</v>
      </c>
      <c r="G230">
        <v>0</v>
      </c>
      <c r="H230">
        <v>800</v>
      </c>
      <c r="I230" s="1">
        <v>0.133820978986188</v>
      </c>
      <c r="J230" s="24" t="s">
        <v>17</v>
      </c>
      <c r="K230" t="s">
        <v>484</v>
      </c>
      <c r="L230" t="s">
        <v>485</v>
      </c>
      <c r="M230" t="s">
        <v>486</v>
      </c>
      <c r="P230">
        <f>S230</f>
        <v>55</v>
      </c>
      <c r="R230" t="s">
        <v>25</v>
      </c>
      <c r="S230">
        <v>55</v>
      </c>
    </row>
    <row r="231" spans="1:19" x14ac:dyDescent="0.25">
      <c r="A231">
        <v>229</v>
      </c>
      <c r="B231" t="s">
        <v>276</v>
      </c>
      <c r="C231">
        <v>95110</v>
      </c>
      <c r="D231" t="str">
        <f>"259-46-057"</f>
        <v>259-46-057</v>
      </c>
      <c r="E231" t="s">
        <v>23</v>
      </c>
      <c r="F231" t="s">
        <v>56</v>
      </c>
      <c r="G231">
        <v>0</v>
      </c>
      <c r="H231">
        <v>800</v>
      </c>
      <c r="I231" s="1">
        <v>0.137121773507316</v>
      </c>
      <c r="J231" s="24" t="s">
        <v>17</v>
      </c>
      <c r="K231" t="s">
        <v>484</v>
      </c>
      <c r="L231" t="s">
        <v>485</v>
      </c>
      <c r="M231" t="s">
        <v>486</v>
      </c>
      <c r="P231">
        <f>S231</f>
        <v>56</v>
      </c>
      <c r="R231" t="s">
        <v>25</v>
      </c>
      <c r="S231">
        <v>56</v>
      </c>
    </row>
    <row r="232" spans="1:19" x14ac:dyDescent="0.25">
      <c r="A232">
        <v>230</v>
      </c>
      <c r="B232" t="s">
        <v>277</v>
      </c>
      <c r="C232">
        <v>95110</v>
      </c>
      <c r="D232" t="str">
        <f>"259-46-058"</f>
        <v>259-46-058</v>
      </c>
      <c r="E232" t="s">
        <v>23</v>
      </c>
      <c r="F232" t="s">
        <v>56</v>
      </c>
      <c r="G232">
        <v>0</v>
      </c>
      <c r="H232">
        <v>800</v>
      </c>
      <c r="I232" s="1">
        <v>0.190578202262531</v>
      </c>
      <c r="J232" s="24" t="s">
        <v>17</v>
      </c>
      <c r="K232" t="s">
        <v>484</v>
      </c>
      <c r="L232" t="s">
        <v>485</v>
      </c>
      <c r="M232" t="s">
        <v>486</v>
      </c>
      <c r="P232">
        <f>S232</f>
        <v>40</v>
      </c>
      <c r="R232" t="s">
        <v>25</v>
      </c>
      <c r="S232">
        <v>40</v>
      </c>
    </row>
    <row r="233" spans="1:19" x14ac:dyDescent="0.25">
      <c r="A233">
        <v>231</v>
      </c>
      <c r="B233" t="s">
        <v>278</v>
      </c>
      <c r="C233">
        <v>95110</v>
      </c>
      <c r="D233" t="str">
        <f>"259-46-069"</f>
        <v>259-46-069</v>
      </c>
      <c r="E233" t="s">
        <v>23</v>
      </c>
      <c r="F233" t="s">
        <v>56</v>
      </c>
      <c r="G233">
        <v>0</v>
      </c>
      <c r="H233">
        <v>800</v>
      </c>
      <c r="I233" s="1">
        <v>6.6687499595277894E-2</v>
      </c>
      <c r="J233" s="24" t="s">
        <v>12</v>
      </c>
      <c r="K233" t="s">
        <v>484</v>
      </c>
      <c r="L233" t="s">
        <v>485</v>
      </c>
      <c r="M233" t="s">
        <v>486</v>
      </c>
      <c r="P233">
        <f>S233</f>
        <v>25</v>
      </c>
      <c r="R233" t="s">
        <v>25</v>
      </c>
      <c r="S233">
        <v>25</v>
      </c>
    </row>
    <row r="234" spans="1:19" x14ac:dyDescent="0.25">
      <c r="A234">
        <v>232</v>
      </c>
      <c r="B234" t="s">
        <v>279</v>
      </c>
      <c r="C234">
        <v>95110</v>
      </c>
      <c r="D234" t="str">
        <f>"259-46-082"</f>
        <v>259-46-082</v>
      </c>
      <c r="E234" t="s">
        <v>23</v>
      </c>
      <c r="F234" t="s">
        <v>56</v>
      </c>
      <c r="G234">
        <v>0</v>
      </c>
      <c r="H234">
        <v>800</v>
      </c>
      <c r="I234" s="1">
        <v>0.115548998186229</v>
      </c>
      <c r="J234" s="24" t="s">
        <v>17</v>
      </c>
      <c r="K234" t="s">
        <v>484</v>
      </c>
      <c r="L234" t="s">
        <v>485</v>
      </c>
      <c r="M234" t="s">
        <v>486</v>
      </c>
      <c r="P234">
        <f>S234</f>
        <v>47</v>
      </c>
      <c r="R234" t="s">
        <v>25</v>
      </c>
      <c r="S234">
        <v>47</v>
      </c>
    </row>
    <row r="235" spans="1:19" x14ac:dyDescent="0.25">
      <c r="A235">
        <v>233</v>
      </c>
      <c r="B235" t="s">
        <v>280</v>
      </c>
      <c r="C235">
        <v>95110</v>
      </c>
      <c r="D235" t="str">
        <f>"259-46-107"</f>
        <v>259-46-107</v>
      </c>
      <c r="E235" t="s">
        <v>23</v>
      </c>
      <c r="F235" t="s">
        <v>56</v>
      </c>
      <c r="G235">
        <v>0</v>
      </c>
      <c r="H235">
        <v>800</v>
      </c>
      <c r="I235" s="1">
        <v>0.128206300575992</v>
      </c>
      <c r="J235" s="24" t="s">
        <v>17</v>
      </c>
      <c r="K235" t="s">
        <v>484</v>
      </c>
      <c r="L235" t="s">
        <v>485</v>
      </c>
      <c r="M235" t="s">
        <v>486</v>
      </c>
      <c r="P235">
        <f>S235</f>
        <v>52</v>
      </c>
      <c r="R235" t="s">
        <v>25</v>
      </c>
      <c r="S235">
        <v>52</v>
      </c>
    </row>
    <row r="236" spans="1:19" x14ac:dyDescent="0.25">
      <c r="A236">
        <v>234</v>
      </c>
      <c r="B236" t="s">
        <v>281</v>
      </c>
      <c r="C236">
        <v>95110</v>
      </c>
      <c r="D236" t="str">
        <f>"259-46-085"</f>
        <v>259-46-085</v>
      </c>
      <c r="E236" t="s">
        <v>23</v>
      </c>
      <c r="F236" t="s">
        <v>56</v>
      </c>
      <c r="G236">
        <v>0</v>
      </c>
      <c r="H236">
        <v>800</v>
      </c>
      <c r="I236" s="1">
        <v>0.11988819655156099</v>
      </c>
      <c r="J236" s="24" t="s">
        <v>17</v>
      </c>
      <c r="K236" t="s">
        <v>484</v>
      </c>
      <c r="L236" t="s">
        <v>485</v>
      </c>
      <c r="M236" t="s">
        <v>486</v>
      </c>
      <c r="P236">
        <f>S236</f>
        <v>49</v>
      </c>
      <c r="R236" t="s">
        <v>25</v>
      </c>
      <c r="S236">
        <v>49</v>
      </c>
    </row>
    <row r="237" spans="1:19" x14ac:dyDescent="0.25">
      <c r="A237">
        <v>235</v>
      </c>
      <c r="B237" t="s">
        <v>282</v>
      </c>
      <c r="C237">
        <v>95110</v>
      </c>
      <c r="D237" t="str">
        <f>"259-47-015"</f>
        <v>259-47-015</v>
      </c>
      <c r="E237" t="s">
        <v>23</v>
      </c>
      <c r="F237" t="s">
        <v>56</v>
      </c>
      <c r="G237">
        <v>0</v>
      </c>
      <c r="H237">
        <v>800</v>
      </c>
      <c r="I237" s="1">
        <v>0.128043654920376</v>
      </c>
      <c r="J237" s="24" t="s">
        <v>12</v>
      </c>
      <c r="K237" t="s">
        <v>484</v>
      </c>
      <c r="L237" t="s">
        <v>485</v>
      </c>
      <c r="M237" t="s">
        <v>486</v>
      </c>
      <c r="P237">
        <f>S237</f>
        <v>23</v>
      </c>
      <c r="R237" t="s">
        <v>25</v>
      </c>
      <c r="S237">
        <v>23</v>
      </c>
    </row>
    <row r="238" spans="1:19" x14ac:dyDescent="0.25">
      <c r="A238">
        <v>236</v>
      </c>
      <c r="B238" t="s">
        <v>283</v>
      </c>
      <c r="C238">
        <v>95110</v>
      </c>
      <c r="D238" t="str">
        <f>"259-47-030"</f>
        <v>259-47-030</v>
      </c>
      <c r="E238" t="s">
        <v>23</v>
      </c>
      <c r="F238" t="s">
        <v>56</v>
      </c>
      <c r="G238">
        <v>0</v>
      </c>
      <c r="H238">
        <v>800</v>
      </c>
      <c r="I238" s="1">
        <v>0.11100179449127399</v>
      </c>
      <c r="J238" s="24" t="s">
        <v>12</v>
      </c>
      <c r="K238" t="s">
        <v>484</v>
      </c>
      <c r="L238" t="s">
        <v>485</v>
      </c>
      <c r="M238" t="s">
        <v>486</v>
      </c>
      <c r="P238">
        <f>S238</f>
        <v>17</v>
      </c>
      <c r="R238" t="s">
        <v>25</v>
      </c>
      <c r="S238">
        <v>17</v>
      </c>
    </row>
    <row r="239" spans="1:19" x14ac:dyDescent="0.25">
      <c r="A239">
        <v>237</v>
      </c>
      <c r="B239" t="s">
        <v>284</v>
      </c>
      <c r="C239">
        <v>95126</v>
      </c>
      <c r="D239" t="str">
        <f>"259-47-031"</f>
        <v>259-47-031</v>
      </c>
      <c r="E239" t="s">
        <v>23</v>
      </c>
      <c r="F239" t="s">
        <v>56</v>
      </c>
      <c r="G239">
        <v>0</v>
      </c>
      <c r="H239">
        <v>800</v>
      </c>
      <c r="I239" s="1">
        <v>0.110987842103302</v>
      </c>
      <c r="J239" s="24" t="s">
        <v>12</v>
      </c>
      <c r="K239" t="s">
        <v>484</v>
      </c>
      <c r="L239" t="s">
        <v>485</v>
      </c>
      <c r="M239" t="s">
        <v>486</v>
      </c>
      <c r="P239">
        <f>S239</f>
        <v>45</v>
      </c>
      <c r="R239" t="s">
        <v>25</v>
      </c>
      <c r="S239">
        <v>45</v>
      </c>
    </row>
    <row r="240" spans="1:19" x14ac:dyDescent="0.25">
      <c r="A240">
        <v>238</v>
      </c>
      <c r="B240" t="s">
        <v>285</v>
      </c>
      <c r="C240">
        <v>95126</v>
      </c>
      <c r="D240" t="str">
        <f>"259-47-032"</f>
        <v>259-47-032</v>
      </c>
      <c r="E240" t="s">
        <v>23</v>
      </c>
      <c r="F240" t="s">
        <v>56</v>
      </c>
      <c r="G240">
        <v>0</v>
      </c>
      <c r="H240">
        <v>800</v>
      </c>
      <c r="I240" s="1">
        <v>0.10822804168536899</v>
      </c>
      <c r="J240" s="24" t="s">
        <v>12</v>
      </c>
      <c r="K240" t="s">
        <v>484</v>
      </c>
      <c r="L240" t="s">
        <v>485</v>
      </c>
      <c r="M240" t="s">
        <v>486</v>
      </c>
      <c r="P240">
        <f>S240</f>
        <v>44</v>
      </c>
      <c r="R240" t="s">
        <v>25</v>
      </c>
      <c r="S240">
        <v>44</v>
      </c>
    </row>
    <row r="241" spans="1:19" x14ac:dyDescent="0.25">
      <c r="A241">
        <v>239</v>
      </c>
      <c r="B241" t="s">
        <v>286</v>
      </c>
      <c r="C241">
        <v>95126</v>
      </c>
      <c r="D241" t="str">
        <f>"259-47-033"</f>
        <v>259-47-033</v>
      </c>
      <c r="E241" t="s">
        <v>23</v>
      </c>
      <c r="F241" t="s">
        <v>56</v>
      </c>
      <c r="G241">
        <v>0</v>
      </c>
      <c r="H241">
        <v>800</v>
      </c>
      <c r="I241" s="1">
        <v>0.113759624533441</v>
      </c>
      <c r="J241" s="24" t="s">
        <v>12</v>
      </c>
      <c r="K241" t="s">
        <v>484</v>
      </c>
      <c r="L241" t="s">
        <v>485</v>
      </c>
      <c r="M241" t="s">
        <v>486</v>
      </c>
      <c r="P241">
        <f>S241</f>
        <v>22</v>
      </c>
      <c r="R241" t="s">
        <v>25</v>
      </c>
      <c r="S241">
        <v>22</v>
      </c>
    </row>
    <row r="242" spans="1:19" x14ac:dyDescent="0.25">
      <c r="A242">
        <v>240</v>
      </c>
      <c r="B242" t="s">
        <v>287</v>
      </c>
      <c r="C242">
        <v>95126</v>
      </c>
      <c r="D242" t="str">
        <f>"259-47-034"</f>
        <v>259-47-034</v>
      </c>
      <c r="E242" t="s">
        <v>23</v>
      </c>
      <c r="F242" t="s">
        <v>56</v>
      </c>
      <c r="G242">
        <v>0</v>
      </c>
      <c r="H242">
        <v>800</v>
      </c>
      <c r="I242" s="1">
        <v>0.11099682063783201</v>
      </c>
      <c r="J242" s="24" t="s">
        <v>12</v>
      </c>
      <c r="K242" t="s">
        <v>484</v>
      </c>
      <c r="L242" t="s">
        <v>485</v>
      </c>
      <c r="M242" t="s">
        <v>486</v>
      </c>
      <c r="P242">
        <f>S242</f>
        <v>22</v>
      </c>
      <c r="R242" t="s">
        <v>25</v>
      </c>
      <c r="S242">
        <v>22</v>
      </c>
    </row>
    <row r="243" spans="1:19" x14ac:dyDescent="0.25">
      <c r="A243">
        <v>241</v>
      </c>
      <c r="B243" t="s">
        <v>288</v>
      </c>
      <c r="C243">
        <v>95126</v>
      </c>
      <c r="D243" t="str">
        <f>"259-47-035"</f>
        <v>259-47-035</v>
      </c>
      <c r="E243" t="s">
        <v>23</v>
      </c>
      <c r="F243" t="s">
        <v>56</v>
      </c>
      <c r="G243">
        <v>0</v>
      </c>
      <c r="H243">
        <v>800</v>
      </c>
      <c r="I243" s="1">
        <v>0.111073865259434</v>
      </c>
      <c r="J243" s="24" t="s">
        <v>17</v>
      </c>
      <c r="K243" t="s">
        <v>484</v>
      </c>
      <c r="L243" t="s">
        <v>485</v>
      </c>
      <c r="M243" t="s">
        <v>486</v>
      </c>
      <c r="P243">
        <f>S243</f>
        <v>21</v>
      </c>
      <c r="R243" t="s">
        <v>25</v>
      </c>
      <c r="S243">
        <v>21</v>
      </c>
    </row>
    <row r="244" spans="1:19" x14ac:dyDescent="0.25">
      <c r="A244">
        <v>242</v>
      </c>
      <c r="B244" t="s">
        <v>289</v>
      </c>
      <c r="C244">
        <v>95126</v>
      </c>
      <c r="D244" t="str">
        <f>"259-47-036"</f>
        <v>259-47-036</v>
      </c>
      <c r="E244" t="s">
        <v>23</v>
      </c>
      <c r="F244" t="s">
        <v>56</v>
      </c>
      <c r="G244">
        <v>0</v>
      </c>
      <c r="H244">
        <v>800</v>
      </c>
      <c r="I244" s="1">
        <v>0.11088793504726099</v>
      </c>
      <c r="J244" s="24" t="s">
        <v>12</v>
      </c>
      <c r="K244" t="s">
        <v>484</v>
      </c>
      <c r="L244" t="s">
        <v>485</v>
      </c>
      <c r="M244" t="s">
        <v>486</v>
      </c>
      <c r="P244">
        <f>S244</f>
        <v>45</v>
      </c>
      <c r="R244" t="s">
        <v>25</v>
      </c>
      <c r="S244">
        <v>45</v>
      </c>
    </row>
    <row r="245" spans="1:19" x14ac:dyDescent="0.25">
      <c r="A245">
        <v>243</v>
      </c>
      <c r="B245" t="s">
        <v>290</v>
      </c>
      <c r="C245">
        <v>95110</v>
      </c>
      <c r="D245" t="str">
        <f>"259-47-020"</f>
        <v>259-47-020</v>
      </c>
      <c r="E245" t="s">
        <v>23</v>
      </c>
      <c r="F245" t="s">
        <v>56</v>
      </c>
      <c r="G245">
        <v>0</v>
      </c>
      <c r="H245">
        <v>800</v>
      </c>
      <c r="I245" s="1">
        <v>0.114774582571514</v>
      </c>
      <c r="J245" s="24" t="s">
        <v>8</v>
      </c>
      <c r="K245" t="s">
        <v>484</v>
      </c>
      <c r="L245" t="s">
        <v>485</v>
      </c>
      <c r="M245" t="s">
        <v>486</v>
      </c>
      <c r="P245">
        <f>S245</f>
        <v>20</v>
      </c>
      <c r="R245" t="s">
        <v>25</v>
      </c>
      <c r="S245">
        <v>20</v>
      </c>
    </row>
    <row r="246" spans="1:19" x14ac:dyDescent="0.25">
      <c r="A246">
        <v>244</v>
      </c>
      <c r="B246" t="s">
        <v>291</v>
      </c>
      <c r="C246">
        <v>95110</v>
      </c>
      <c r="D246" t="str">
        <f>"259-47-075"</f>
        <v>259-47-075</v>
      </c>
      <c r="E246" t="s">
        <v>23</v>
      </c>
      <c r="F246" t="s">
        <v>56</v>
      </c>
      <c r="G246">
        <v>0</v>
      </c>
      <c r="H246">
        <v>800</v>
      </c>
      <c r="I246" s="1">
        <v>5.1432334741509003E-2</v>
      </c>
      <c r="J246" s="24" t="s">
        <v>17</v>
      </c>
      <c r="K246" t="s">
        <v>484</v>
      </c>
      <c r="L246" t="s">
        <v>485</v>
      </c>
      <c r="M246" t="s">
        <v>486</v>
      </c>
      <c r="P246">
        <f>S246</f>
        <v>10</v>
      </c>
      <c r="R246" t="s">
        <v>25</v>
      </c>
      <c r="S246">
        <v>10</v>
      </c>
    </row>
    <row r="247" spans="1:19" x14ac:dyDescent="0.25">
      <c r="A247">
        <v>245</v>
      </c>
      <c r="B247" t="s">
        <v>292</v>
      </c>
      <c r="C247">
        <v>95110</v>
      </c>
      <c r="D247" t="str">
        <f>"259-47-049"</f>
        <v>259-47-049</v>
      </c>
      <c r="E247" t="s">
        <v>23</v>
      </c>
      <c r="F247" t="s">
        <v>56</v>
      </c>
      <c r="G247">
        <v>0</v>
      </c>
      <c r="H247">
        <v>800</v>
      </c>
      <c r="I247" s="1">
        <v>7.6626114182019797E-2</v>
      </c>
      <c r="J247" s="24" t="s">
        <v>12</v>
      </c>
      <c r="K247" t="s">
        <v>484</v>
      </c>
      <c r="L247" t="s">
        <v>485</v>
      </c>
      <c r="M247" t="s">
        <v>486</v>
      </c>
      <c r="P247">
        <f>S247</f>
        <v>28</v>
      </c>
      <c r="R247" t="s">
        <v>25</v>
      </c>
      <c r="S247">
        <v>28</v>
      </c>
    </row>
    <row r="248" spans="1:19" x14ac:dyDescent="0.25">
      <c r="A248">
        <v>246</v>
      </c>
      <c r="B248" t="s">
        <v>293</v>
      </c>
      <c r="C248">
        <v>95110</v>
      </c>
      <c r="D248" t="str">
        <f>"259-47-054"</f>
        <v>259-47-054</v>
      </c>
      <c r="E248" t="s">
        <v>23</v>
      </c>
      <c r="F248" t="s">
        <v>56</v>
      </c>
      <c r="G248">
        <v>0</v>
      </c>
      <c r="H248">
        <v>800</v>
      </c>
      <c r="I248" s="1">
        <v>0.113424557162611</v>
      </c>
      <c r="J248" s="24" t="s">
        <v>8</v>
      </c>
      <c r="K248" t="s">
        <v>484</v>
      </c>
      <c r="L248" t="s">
        <v>485</v>
      </c>
      <c r="M248" t="s">
        <v>486</v>
      </c>
      <c r="P248">
        <f>S248</f>
        <v>44</v>
      </c>
      <c r="R248" t="s">
        <v>25</v>
      </c>
      <c r="S248">
        <v>44</v>
      </c>
    </row>
    <row r="249" spans="1:19" x14ac:dyDescent="0.25">
      <c r="A249">
        <v>247</v>
      </c>
      <c r="B249" t="s">
        <v>294</v>
      </c>
      <c r="C249">
        <v>95110</v>
      </c>
      <c r="D249" t="str">
        <f>"259-47-041"</f>
        <v>259-47-041</v>
      </c>
      <c r="E249" t="s">
        <v>23</v>
      </c>
      <c r="F249" t="s">
        <v>56</v>
      </c>
      <c r="G249">
        <v>0</v>
      </c>
      <c r="H249">
        <v>800</v>
      </c>
      <c r="I249" s="1">
        <v>0.11021643899122301</v>
      </c>
      <c r="J249" s="24" t="s">
        <v>17</v>
      </c>
      <c r="K249" t="s">
        <v>484</v>
      </c>
      <c r="L249" t="s">
        <v>485</v>
      </c>
      <c r="M249" t="s">
        <v>486</v>
      </c>
      <c r="P249">
        <f>S249</f>
        <v>42</v>
      </c>
      <c r="R249" t="s">
        <v>25</v>
      </c>
      <c r="S249">
        <v>42</v>
      </c>
    </row>
    <row r="250" spans="1:19" x14ac:dyDescent="0.25">
      <c r="A250">
        <v>248</v>
      </c>
      <c r="B250" t="s">
        <v>295</v>
      </c>
      <c r="C250">
        <v>95110</v>
      </c>
      <c r="D250" t="str">
        <f>"259-47-044"</f>
        <v>259-47-044</v>
      </c>
      <c r="E250" t="s">
        <v>23</v>
      </c>
      <c r="F250" t="s">
        <v>56</v>
      </c>
      <c r="G250">
        <v>0</v>
      </c>
      <c r="H250">
        <v>800</v>
      </c>
      <c r="I250" s="1">
        <v>0.16493486028423299</v>
      </c>
      <c r="J250" s="24" t="s">
        <v>8</v>
      </c>
      <c r="K250" t="s">
        <v>484</v>
      </c>
      <c r="L250" t="s">
        <v>485</v>
      </c>
      <c r="M250" t="s">
        <v>486</v>
      </c>
      <c r="P250">
        <f>S250</f>
        <v>39</v>
      </c>
      <c r="R250" t="s">
        <v>25</v>
      </c>
      <c r="S250">
        <v>39</v>
      </c>
    </row>
    <row r="251" spans="1:19" x14ac:dyDescent="0.25">
      <c r="A251">
        <v>249</v>
      </c>
      <c r="B251" t="s">
        <v>296</v>
      </c>
      <c r="C251">
        <v>95110</v>
      </c>
      <c r="D251" t="str">
        <f>"259-47-045"</f>
        <v>259-47-045</v>
      </c>
      <c r="E251" t="s">
        <v>23</v>
      </c>
      <c r="F251" t="s">
        <v>56</v>
      </c>
      <c r="G251">
        <v>0</v>
      </c>
      <c r="H251">
        <v>800</v>
      </c>
      <c r="I251" s="1">
        <v>7.2530612660946694E-2</v>
      </c>
      <c r="J251" s="24" t="s">
        <v>8</v>
      </c>
      <c r="K251" t="s">
        <v>484</v>
      </c>
      <c r="L251" t="s">
        <v>485</v>
      </c>
      <c r="M251" t="s">
        <v>486</v>
      </c>
      <c r="P251">
        <f>S251</f>
        <v>12</v>
      </c>
      <c r="R251" t="s">
        <v>25</v>
      </c>
      <c r="S251">
        <v>12</v>
      </c>
    </row>
    <row r="252" spans="1:19" x14ac:dyDescent="0.25">
      <c r="A252">
        <v>250</v>
      </c>
      <c r="B252" t="s">
        <v>297</v>
      </c>
      <c r="C252">
        <v>95110</v>
      </c>
      <c r="D252" t="str">
        <f>"259-47-046"</f>
        <v>259-47-046</v>
      </c>
      <c r="E252" t="s">
        <v>23</v>
      </c>
      <c r="F252" t="s">
        <v>56</v>
      </c>
      <c r="G252">
        <v>0</v>
      </c>
      <c r="H252">
        <v>800</v>
      </c>
      <c r="I252" s="1">
        <v>9.3008093926024299E-2</v>
      </c>
      <c r="J252" s="24" t="s">
        <v>8</v>
      </c>
      <c r="K252" t="s">
        <v>484</v>
      </c>
      <c r="L252" t="s">
        <v>485</v>
      </c>
      <c r="M252" t="s">
        <v>486</v>
      </c>
      <c r="P252">
        <f>S252</f>
        <v>15</v>
      </c>
      <c r="R252" t="s">
        <v>25</v>
      </c>
      <c r="S252">
        <v>15</v>
      </c>
    </row>
    <row r="253" spans="1:19" x14ac:dyDescent="0.25">
      <c r="A253">
        <v>251</v>
      </c>
      <c r="B253" t="s">
        <v>298</v>
      </c>
      <c r="C253">
        <v>95110</v>
      </c>
      <c r="D253" t="str">
        <f>"259-47-047"</f>
        <v>259-47-047</v>
      </c>
      <c r="E253" t="s">
        <v>23</v>
      </c>
      <c r="F253" t="s">
        <v>56</v>
      </c>
      <c r="G253">
        <v>0</v>
      </c>
      <c r="H253">
        <v>350</v>
      </c>
      <c r="I253" s="1">
        <v>7.1983635773899296E-2</v>
      </c>
      <c r="J253" s="24" t="s">
        <v>8</v>
      </c>
      <c r="K253" t="s">
        <v>484</v>
      </c>
      <c r="L253" t="s">
        <v>485</v>
      </c>
      <c r="M253" t="s">
        <v>486</v>
      </c>
      <c r="P253">
        <f>S253</f>
        <v>13</v>
      </c>
      <c r="R253" t="s">
        <v>25</v>
      </c>
      <c r="S253">
        <v>13</v>
      </c>
    </row>
    <row r="254" spans="1:19" x14ac:dyDescent="0.25">
      <c r="A254">
        <v>252</v>
      </c>
      <c r="B254" t="s">
        <v>299</v>
      </c>
      <c r="C254">
        <v>95110</v>
      </c>
      <c r="D254" t="str">
        <f>"259-47-048"</f>
        <v>259-47-048</v>
      </c>
      <c r="E254" t="s">
        <v>23</v>
      </c>
      <c r="F254" t="s">
        <v>56</v>
      </c>
      <c r="G254">
        <v>0</v>
      </c>
      <c r="H254">
        <v>800</v>
      </c>
      <c r="I254" s="1">
        <v>7.1916509840126305E-2</v>
      </c>
      <c r="J254" s="24" t="s">
        <v>300</v>
      </c>
      <c r="K254" t="s">
        <v>484</v>
      </c>
      <c r="L254" t="s">
        <v>485</v>
      </c>
      <c r="M254" t="s">
        <v>486</v>
      </c>
      <c r="P254">
        <f>S254</f>
        <v>14</v>
      </c>
      <c r="R254" t="s">
        <v>25</v>
      </c>
      <c r="S254">
        <v>14</v>
      </c>
    </row>
    <row r="255" spans="1:19" x14ac:dyDescent="0.25">
      <c r="A255">
        <v>253</v>
      </c>
      <c r="B255" t="s">
        <v>301</v>
      </c>
      <c r="C255">
        <v>95110</v>
      </c>
      <c r="D255" t="str">
        <f>"259-48-031"</f>
        <v>259-48-031</v>
      </c>
      <c r="E255" t="s">
        <v>23</v>
      </c>
      <c r="F255" t="s">
        <v>56</v>
      </c>
      <c r="G255">
        <v>0</v>
      </c>
      <c r="H255">
        <v>800</v>
      </c>
      <c r="I255" s="1">
        <v>0.15548133692000601</v>
      </c>
      <c r="J255" s="24" t="s">
        <v>17</v>
      </c>
      <c r="K255" t="s">
        <v>484</v>
      </c>
      <c r="L255" t="s">
        <v>485</v>
      </c>
      <c r="M255" t="s">
        <v>486</v>
      </c>
      <c r="P255">
        <f>S255</f>
        <v>64</v>
      </c>
      <c r="R255" t="s">
        <v>25</v>
      </c>
      <c r="S255">
        <v>64</v>
      </c>
    </row>
    <row r="256" spans="1:19" x14ac:dyDescent="0.25">
      <c r="A256">
        <v>254</v>
      </c>
      <c r="B256" t="s">
        <v>302</v>
      </c>
      <c r="C256">
        <v>95110</v>
      </c>
      <c r="D256" t="str">
        <f>"259-48-034"</f>
        <v>259-48-034</v>
      </c>
      <c r="E256" t="s">
        <v>23</v>
      </c>
      <c r="F256" t="s">
        <v>56</v>
      </c>
      <c r="G256">
        <v>0</v>
      </c>
      <c r="H256">
        <v>800</v>
      </c>
      <c r="I256" s="1">
        <v>0.35988413279481701</v>
      </c>
      <c r="J256" s="24" t="s">
        <v>300</v>
      </c>
      <c r="K256" t="s">
        <v>484</v>
      </c>
      <c r="L256" t="s">
        <v>485</v>
      </c>
      <c r="M256" t="s">
        <v>486</v>
      </c>
      <c r="P256">
        <f>S256</f>
        <v>129</v>
      </c>
      <c r="R256" t="s">
        <v>25</v>
      </c>
      <c r="S256">
        <v>129</v>
      </c>
    </row>
    <row r="257" spans="1:20" x14ac:dyDescent="0.25">
      <c r="A257">
        <v>255</v>
      </c>
      <c r="B257" t="s">
        <v>303</v>
      </c>
      <c r="C257">
        <v>95110</v>
      </c>
      <c r="D257" t="str">
        <f>"259-48-036"</f>
        <v>259-48-036</v>
      </c>
      <c r="E257" t="s">
        <v>23</v>
      </c>
      <c r="F257" t="s">
        <v>56</v>
      </c>
      <c r="G257">
        <v>0</v>
      </c>
      <c r="H257">
        <v>800</v>
      </c>
      <c r="I257" s="1">
        <v>0.116833953286352</v>
      </c>
      <c r="J257" s="24" t="s">
        <v>8</v>
      </c>
      <c r="K257" t="s">
        <v>484</v>
      </c>
      <c r="L257" t="s">
        <v>485</v>
      </c>
      <c r="M257" t="s">
        <v>486</v>
      </c>
      <c r="P257">
        <f>S257</f>
        <v>47</v>
      </c>
      <c r="R257" t="s">
        <v>25</v>
      </c>
      <c r="S257">
        <v>47</v>
      </c>
    </row>
    <row r="258" spans="1:20" x14ac:dyDescent="0.25">
      <c r="A258">
        <v>256</v>
      </c>
      <c r="B258" t="s">
        <v>304</v>
      </c>
      <c r="C258">
        <v>95126</v>
      </c>
      <c r="D258" t="str">
        <f>"261-01-089"</f>
        <v>261-01-089</v>
      </c>
      <c r="E258" t="s">
        <v>244</v>
      </c>
      <c r="F258" t="s">
        <v>244</v>
      </c>
      <c r="G258">
        <v>65</v>
      </c>
      <c r="H258">
        <v>450</v>
      </c>
      <c r="I258" s="1">
        <v>0.19325794658446799</v>
      </c>
      <c r="J258" s="24" t="s">
        <v>14</v>
      </c>
      <c r="K258" t="s">
        <v>484</v>
      </c>
      <c r="L258" t="s">
        <v>485</v>
      </c>
      <c r="M258" t="s">
        <v>486</v>
      </c>
      <c r="P258">
        <f>S258</f>
        <v>24</v>
      </c>
      <c r="R258" t="s">
        <v>25</v>
      </c>
      <c r="S258">
        <v>24</v>
      </c>
    </row>
    <row r="259" spans="1:20" x14ac:dyDescent="0.25">
      <c r="A259">
        <v>257</v>
      </c>
      <c r="B259" t="s">
        <v>305</v>
      </c>
      <c r="C259">
        <v>95126</v>
      </c>
      <c r="D259" t="str">
        <f>"261-01-090"</f>
        <v>261-01-090</v>
      </c>
      <c r="E259" t="s">
        <v>244</v>
      </c>
      <c r="F259" t="s">
        <v>244</v>
      </c>
      <c r="G259">
        <v>65</v>
      </c>
      <c r="H259">
        <v>450</v>
      </c>
      <c r="I259" s="1">
        <v>0.28419114475953799</v>
      </c>
      <c r="J259" s="24" t="s">
        <v>8</v>
      </c>
      <c r="K259" t="s">
        <v>484</v>
      </c>
      <c r="L259" t="s">
        <v>485</v>
      </c>
      <c r="M259" t="s">
        <v>486</v>
      </c>
      <c r="P259">
        <f>S259</f>
        <v>36</v>
      </c>
      <c r="R259" t="s">
        <v>25</v>
      </c>
      <c r="S259">
        <v>36</v>
      </c>
    </row>
    <row r="260" spans="1:20" x14ac:dyDescent="0.25">
      <c r="A260">
        <v>258</v>
      </c>
      <c r="B260" t="s">
        <v>306</v>
      </c>
      <c r="C260">
        <v>95126</v>
      </c>
      <c r="D260" t="str">
        <f>"261-01-038"</f>
        <v>261-01-038</v>
      </c>
      <c r="E260" t="s">
        <v>244</v>
      </c>
      <c r="F260" t="s">
        <v>244</v>
      </c>
      <c r="G260">
        <v>65</v>
      </c>
      <c r="H260">
        <v>450</v>
      </c>
      <c r="I260" s="1">
        <v>0.23338685515267801</v>
      </c>
      <c r="J260" s="24" t="s">
        <v>8</v>
      </c>
      <c r="K260" t="s">
        <v>484</v>
      </c>
      <c r="L260" t="s">
        <v>485</v>
      </c>
      <c r="M260" t="s">
        <v>486</v>
      </c>
      <c r="P260">
        <f>S260</f>
        <v>29</v>
      </c>
      <c r="R260" t="s">
        <v>25</v>
      </c>
      <c r="S260">
        <v>29</v>
      </c>
    </row>
    <row r="261" spans="1:20" x14ac:dyDescent="0.25">
      <c r="A261">
        <v>259</v>
      </c>
      <c r="B261" t="s">
        <v>307</v>
      </c>
      <c r="C261">
        <v>95126</v>
      </c>
      <c r="D261" t="str">
        <f>"261-02-060"</f>
        <v>261-02-060</v>
      </c>
      <c r="E261" t="s">
        <v>11</v>
      </c>
      <c r="F261" t="s">
        <v>11</v>
      </c>
      <c r="G261">
        <v>55</v>
      </c>
      <c r="H261">
        <v>250</v>
      </c>
      <c r="I261" s="1">
        <v>0.67238497332854896</v>
      </c>
      <c r="J261" s="24" t="s">
        <v>14</v>
      </c>
      <c r="K261" t="s">
        <v>484</v>
      </c>
      <c r="L261" t="s">
        <v>485</v>
      </c>
      <c r="M261" t="s">
        <v>486</v>
      </c>
      <c r="N261" s="2" t="s">
        <v>481</v>
      </c>
      <c r="O261">
        <f>S261</f>
        <v>68</v>
      </c>
      <c r="R261" t="s">
        <v>9</v>
      </c>
      <c r="S261">
        <v>68</v>
      </c>
    </row>
    <row r="262" spans="1:20" x14ac:dyDescent="0.25">
      <c r="A262">
        <v>260</v>
      </c>
      <c r="B262" t="s">
        <v>308</v>
      </c>
      <c r="C262">
        <v>95126</v>
      </c>
      <c r="D262" t="str">
        <f>"261-28-078"</f>
        <v>261-28-078</v>
      </c>
      <c r="E262" t="s">
        <v>6</v>
      </c>
      <c r="F262" t="s">
        <v>30</v>
      </c>
      <c r="G262">
        <v>0</v>
      </c>
      <c r="H262">
        <v>0</v>
      </c>
      <c r="I262" s="1">
        <v>0.59665380824537895</v>
      </c>
      <c r="J262" s="24" t="s">
        <v>12</v>
      </c>
      <c r="K262" t="s">
        <v>484</v>
      </c>
      <c r="L262" t="s">
        <v>485</v>
      </c>
      <c r="M262" t="s">
        <v>486</v>
      </c>
      <c r="N262" s="2" t="s">
        <v>481</v>
      </c>
      <c r="O262">
        <f>S262</f>
        <v>44</v>
      </c>
      <c r="R262" t="s">
        <v>9</v>
      </c>
      <c r="S262">
        <v>44</v>
      </c>
      <c r="T262" s="3" t="s">
        <v>487</v>
      </c>
    </row>
    <row r="263" spans="1:20" x14ac:dyDescent="0.25">
      <c r="A263">
        <v>261</v>
      </c>
      <c r="B263" t="s">
        <v>309</v>
      </c>
      <c r="C263">
        <v>95126</v>
      </c>
      <c r="D263" t="str">
        <f>"261-32-072"</f>
        <v>261-32-072</v>
      </c>
      <c r="E263" t="s">
        <v>11</v>
      </c>
      <c r="F263" t="s">
        <v>11</v>
      </c>
      <c r="G263">
        <v>55</v>
      </c>
      <c r="H263">
        <v>250</v>
      </c>
      <c r="I263" s="1">
        <v>0.64824112749057305</v>
      </c>
      <c r="J263" s="24" t="s">
        <v>12</v>
      </c>
      <c r="K263" t="s">
        <v>484</v>
      </c>
      <c r="L263" t="s">
        <v>485</v>
      </c>
      <c r="M263" t="s">
        <v>486</v>
      </c>
      <c r="N263" t="s">
        <v>483</v>
      </c>
      <c r="O263">
        <f>S263</f>
        <v>77</v>
      </c>
      <c r="R263" t="s">
        <v>9</v>
      </c>
      <c r="S263">
        <v>77</v>
      </c>
    </row>
    <row r="264" spans="1:20" x14ac:dyDescent="0.25">
      <c r="A264">
        <v>262</v>
      </c>
      <c r="B264" t="s">
        <v>310</v>
      </c>
      <c r="C264">
        <v>95126</v>
      </c>
      <c r="D264" t="str">
        <f>"261-36-064"</f>
        <v>261-36-064</v>
      </c>
      <c r="E264" t="s">
        <v>42</v>
      </c>
      <c r="F264" t="s">
        <v>42</v>
      </c>
      <c r="G264">
        <v>0</v>
      </c>
      <c r="H264">
        <v>30</v>
      </c>
      <c r="I264" s="1">
        <v>0.572935954566962</v>
      </c>
      <c r="J264" s="24" t="s">
        <v>12</v>
      </c>
      <c r="K264" t="s">
        <v>484</v>
      </c>
      <c r="L264" t="s">
        <v>485</v>
      </c>
      <c r="M264" t="s">
        <v>486</v>
      </c>
      <c r="N264" t="s">
        <v>483</v>
      </c>
      <c r="O264">
        <f>S264</f>
        <v>17</v>
      </c>
      <c r="R264" t="s">
        <v>9</v>
      </c>
      <c r="S264">
        <v>17</v>
      </c>
    </row>
    <row r="265" spans="1:20" x14ac:dyDescent="0.25">
      <c r="A265">
        <v>263</v>
      </c>
      <c r="B265" t="s">
        <v>94</v>
      </c>
      <c r="C265">
        <v>95126</v>
      </c>
      <c r="D265" t="str">
        <f>"261-38-030"</f>
        <v>261-38-030</v>
      </c>
      <c r="E265" t="s">
        <v>244</v>
      </c>
      <c r="F265" t="s">
        <v>244</v>
      </c>
      <c r="G265">
        <v>65</v>
      </c>
      <c r="H265">
        <v>450</v>
      </c>
      <c r="I265" s="1">
        <v>9.1541048028933494E-2</v>
      </c>
      <c r="J265" s="24" t="s">
        <v>17</v>
      </c>
      <c r="K265" t="s">
        <v>484</v>
      </c>
      <c r="L265" t="s">
        <v>485</v>
      </c>
      <c r="M265" t="s">
        <v>486</v>
      </c>
      <c r="P265">
        <f>S265</f>
        <v>9</v>
      </c>
      <c r="R265" t="s">
        <v>25</v>
      </c>
      <c r="S265">
        <v>9</v>
      </c>
    </row>
    <row r="266" spans="1:20" x14ac:dyDescent="0.25">
      <c r="A266">
        <v>264</v>
      </c>
      <c r="B266" t="s">
        <v>311</v>
      </c>
      <c r="C266">
        <v>95126</v>
      </c>
      <c r="D266" t="str">
        <f>"261-39-035"</f>
        <v>261-39-035</v>
      </c>
      <c r="E266" t="s">
        <v>244</v>
      </c>
      <c r="F266" t="s">
        <v>244</v>
      </c>
      <c r="G266">
        <v>65</v>
      </c>
      <c r="H266">
        <v>450</v>
      </c>
      <c r="I266" s="1">
        <v>0.24088249682739701</v>
      </c>
      <c r="J266" s="24" t="s">
        <v>17</v>
      </c>
      <c r="K266" t="s">
        <v>484</v>
      </c>
      <c r="L266" t="s">
        <v>485</v>
      </c>
      <c r="M266" t="s">
        <v>486</v>
      </c>
      <c r="P266">
        <f>S266</f>
        <v>25</v>
      </c>
      <c r="R266" t="s">
        <v>25</v>
      </c>
      <c r="S266">
        <v>25</v>
      </c>
    </row>
    <row r="267" spans="1:20" ht="30" x14ac:dyDescent="0.25">
      <c r="A267">
        <v>265</v>
      </c>
      <c r="B267" t="s">
        <v>312</v>
      </c>
      <c r="C267">
        <v>95126</v>
      </c>
      <c r="D267" t="str">
        <f>"261-39-025"</f>
        <v>261-39-025</v>
      </c>
      <c r="E267" t="s">
        <v>244</v>
      </c>
      <c r="F267" t="s">
        <v>244</v>
      </c>
      <c r="G267">
        <v>65</v>
      </c>
      <c r="H267">
        <v>450</v>
      </c>
      <c r="I267" s="1">
        <v>0.79493076940489804</v>
      </c>
      <c r="J267" s="24" t="s">
        <v>65</v>
      </c>
      <c r="K267" t="s">
        <v>484</v>
      </c>
      <c r="L267" t="s">
        <v>485</v>
      </c>
      <c r="M267" t="s">
        <v>486</v>
      </c>
      <c r="P267">
        <f>S267</f>
        <v>79</v>
      </c>
      <c r="R267" t="s">
        <v>25</v>
      </c>
      <c r="S267">
        <v>79</v>
      </c>
    </row>
    <row r="268" spans="1:20" ht="30" x14ac:dyDescent="0.25">
      <c r="A268">
        <v>266</v>
      </c>
      <c r="B268" t="s">
        <v>313</v>
      </c>
      <c r="C268">
        <v>95126</v>
      </c>
      <c r="D268" t="str">
        <f>"261-39-027"</f>
        <v>261-39-027</v>
      </c>
      <c r="E268" t="s">
        <v>244</v>
      </c>
      <c r="F268" t="s">
        <v>244</v>
      </c>
      <c r="G268">
        <v>65</v>
      </c>
      <c r="H268">
        <v>450</v>
      </c>
      <c r="I268" s="1">
        <v>0.78873227884284602</v>
      </c>
      <c r="J268" s="24" t="s">
        <v>65</v>
      </c>
      <c r="K268" t="s">
        <v>484</v>
      </c>
      <c r="L268" t="s">
        <v>485</v>
      </c>
      <c r="M268" t="s">
        <v>486</v>
      </c>
      <c r="P268">
        <f>S268</f>
        <v>78</v>
      </c>
      <c r="R268" t="s">
        <v>25</v>
      </c>
      <c r="S268">
        <v>78</v>
      </c>
    </row>
    <row r="269" spans="1:20" x14ac:dyDescent="0.25">
      <c r="A269">
        <v>267</v>
      </c>
      <c r="B269" t="s">
        <v>314</v>
      </c>
      <c r="C269">
        <v>95126</v>
      </c>
      <c r="D269" t="str">
        <f>"261-39-012"</f>
        <v>261-39-012</v>
      </c>
      <c r="E269" t="s">
        <v>64</v>
      </c>
      <c r="F269" t="s">
        <v>64</v>
      </c>
      <c r="G269">
        <v>30</v>
      </c>
      <c r="H269">
        <v>95</v>
      </c>
      <c r="I269" s="1">
        <v>0.166931209459111</v>
      </c>
      <c r="J269" s="24" t="s">
        <v>8</v>
      </c>
      <c r="K269" t="s">
        <v>484</v>
      </c>
      <c r="L269" t="s">
        <v>485</v>
      </c>
      <c r="M269" t="s">
        <v>486</v>
      </c>
      <c r="P269">
        <f>S269</f>
        <v>11</v>
      </c>
      <c r="R269" t="s">
        <v>25</v>
      </c>
      <c r="S269">
        <v>11</v>
      </c>
    </row>
    <row r="270" spans="1:20" x14ac:dyDescent="0.25">
      <c r="A270">
        <v>268</v>
      </c>
      <c r="B270" t="s">
        <v>315</v>
      </c>
      <c r="C270">
        <v>95126</v>
      </c>
      <c r="D270" t="str">
        <f>"261-39-013"</f>
        <v>261-39-013</v>
      </c>
      <c r="E270" t="s">
        <v>64</v>
      </c>
      <c r="F270" t="s">
        <v>64</v>
      </c>
      <c r="G270">
        <v>30</v>
      </c>
      <c r="H270">
        <v>95</v>
      </c>
      <c r="I270" s="1">
        <v>0.14914527419192899</v>
      </c>
      <c r="J270" s="24" t="s">
        <v>17</v>
      </c>
      <c r="K270" t="s">
        <v>484</v>
      </c>
      <c r="L270" t="s">
        <v>485</v>
      </c>
      <c r="M270" t="s">
        <v>486</v>
      </c>
      <c r="P270">
        <f>S270</f>
        <v>12</v>
      </c>
      <c r="R270" t="s">
        <v>25</v>
      </c>
      <c r="S270">
        <v>12</v>
      </c>
    </row>
    <row r="271" spans="1:20" x14ac:dyDescent="0.25">
      <c r="A271">
        <v>269</v>
      </c>
      <c r="B271" t="s">
        <v>316</v>
      </c>
      <c r="C271">
        <v>95126</v>
      </c>
      <c r="D271" t="str">
        <f>"261-39-015"</f>
        <v>261-39-015</v>
      </c>
      <c r="E271" t="s">
        <v>64</v>
      </c>
      <c r="F271" t="s">
        <v>64</v>
      </c>
      <c r="G271">
        <v>30</v>
      </c>
      <c r="H271">
        <v>95</v>
      </c>
      <c r="I271" s="1">
        <v>0.16351625277420501</v>
      </c>
      <c r="J271" s="24" t="s">
        <v>17</v>
      </c>
      <c r="K271" t="s">
        <v>484</v>
      </c>
      <c r="L271" t="s">
        <v>485</v>
      </c>
      <c r="M271" t="s">
        <v>486</v>
      </c>
      <c r="P271">
        <f>S271</f>
        <v>13</v>
      </c>
      <c r="R271" t="s">
        <v>25</v>
      </c>
      <c r="S271">
        <v>13</v>
      </c>
    </row>
    <row r="272" spans="1:20" x14ac:dyDescent="0.25">
      <c r="A272">
        <v>270</v>
      </c>
      <c r="B272" t="s">
        <v>317</v>
      </c>
      <c r="C272">
        <v>95126</v>
      </c>
      <c r="D272" t="str">
        <f>"261-39-016"</f>
        <v>261-39-016</v>
      </c>
      <c r="E272" t="s">
        <v>64</v>
      </c>
      <c r="F272" t="s">
        <v>64</v>
      </c>
      <c r="G272">
        <v>30</v>
      </c>
      <c r="H272">
        <v>95</v>
      </c>
      <c r="I272" s="1">
        <v>0.16618118185973499</v>
      </c>
      <c r="J272" s="24" t="s">
        <v>17</v>
      </c>
      <c r="K272" t="s">
        <v>484</v>
      </c>
      <c r="L272" t="s">
        <v>485</v>
      </c>
      <c r="M272" t="s">
        <v>486</v>
      </c>
      <c r="P272">
        <f>S272</f>
        <v>13</v>
      </c>
      <c r="R272" t="s">
        <v>25</v>
      </c>
      <c r="S272">
        <v>13</v>
      </c>
    </row>
    <row r="273" spans="1:20" x14ac:dyDescent="0.25">
      <c r="A273">
        <v>271</v>
      </c>
      <c r="B273" t="s">
        <v>318</v>
      </c>
      <c r="C273">
        <v>95126</v>
      </c>
      <c r="D273" t="str">
        <f>"261-39-005"</f>
        <v>261-39-005</v>
      </c>
      <c r="E273" t="s">
        <v>244</v>
      </c>
      <c r="F273" t="s">
        <v>244</v>
      </c>
      <c r="G273">
        <v>65</v>
      </c>
      <c r="H273">
        <v>450</v>
      </c>
      <c r="I273" s="1">
        <v>8.4828743532713496E-2</v>
      </c>
      <c r="J273" s="24" t="s">
        <v>12</v>
      </c>
      <c r="K273" t="s">
        <v>484</v>
      </c>
      <c r="L273" t="s">
        <v>485</v>
      </c>
      <c r="M273" t="s">
        <v>486</v>
      </c>
      <c r="P273">
        <f>S273</f>
        <v>8</v>
      </c>
      <c r="R273" t="s">
        <v>25</v>
      </c>
      <c r="S273">
        <v>8</v>
      </c>
    </row>
    <row r="274" spans="1:20" x14ac:dyDescent="0.25">
      <c r="A274">
        <v>272</v>
      </c>
      <c r="B274" t="s">
        <v>319</v>
      </c>
      <c r="C274">
        <v>95126</v>
      </c>
      <c r="D274" t="str">
        <f>"274-07-041"</f>
        <v>274-07-041</v>
      </c>
      <c r="E274" t="s">
        <v>6</v>
      </c>
      <c r="F274" t="s">
        <v>33</v>
      </c>
      <c r="G274">
        <v>0</v>
      </c>
      <c r="H274">
        <v>0</v>
      </c>
      <c r="I274" s="1">
        <v>0.62809287532918701</v>
      </c>
      <c r="J274" s="24" t="s">
        <v>8</v>
      </c>
      <c r="K274" t="s">
        <v>484</v>
      </c>
      <c r="L274" t="s">
        <v>485</v>
      </c>
      <c r="M274" t="s">
        <v>486</v>
      </c>
      <c r="N274" s="2" t="s">
        <v>481</v>
      </c>
      <c r="O274">
        <f>S274</f>
        <v>51</v>
      </c>
      <c r="R274" t="s">
        <v>9</v>
      </c>
      <c r="S274">
        <v>51</v>
      </c>
      <c r="T274" s="3" t="s">
        <v>487</v>
      </c>
    </row>
    <row r="275" spans="1:20" x14ac:dyDescent="0.25">
      <c r="A275">
        <v>273</v>
      </c>
      <c r="B275" t="s">
        <v>320</v>
      </c>
      <c r="C275">
        <v>95128</v>
      </c>
      <c r="D275" t="str">
        <f>"274-15-112"</f>
        <v>274-15-112</v>
      </c>
      <c r="E275" t="s">
        <v>37</v>
      </c>
      <c r="F275" t="s">
        <v>37</v>
      </c>
      <c r="G275">
        <v>0</v>
      </c>
      <c r="H275">
        <v>50</v>
      </c>
      <c r="I275" s="1">
        <v>1.65791119328079</v>
      </c>
      <c r="J275" s="24" t="s">
        <v>12</v>
      </c>
      <c r="K275" t="s">
        <v>484</v>
      </c>
      <c r="L275" t="s">
        <v>485</v>
      </c>
      <c r="M275" t="s">
        <v>486</v>
      </c>
      <c r="Q275">
        <f>S275</f>
        <v>126</v>
      </c>
      <c r="R275" t="s">
        <v>34</v>
      </c>
      <c r="S275">
        <v>126</v>
      </c>
    </row>
    <row r="276" spans="1:20" x14ac:dyDescent="0.25">
      <c r="A276">
        <v>274</v>
      </c>
      <c r="B276" t="s">
        <v>321</v>
      </c>
      <c r="C276">
        <v>95128</v>
      </c>
      <c r="D276" t="str">
        <f>"274-41-075"</f>
        <v>274-41-075</v>
      </c>
      <c r="E276" t="s">
        <v>6</v>
      </c>
      <c r="F276" t="s">
        <v>33</v>
      </c>
      <c r="G276">
        <v>0</v>
      </c>
      <c r="H276">
        <v>0</v>
      </c>
      <c r="I276" s="1">
        <v>1.1335103203793699</v>
      </c>
      <c r="J276" s="24" t="s">
        <v>14</v>
      </c>
      <c r="K276" t="s">
        <v>484</v>
      </c>
      <c r="L276" t="s">
        <v>485</v>
      </c>
      <c r="M276" t="s">
        <v>486</v>
      </c>
      <c r="N276" s="2" t="s">
        <v>481</v>
      </c>
      <c r="O276">
        <f>S276</f>
        <v>89</v>
      </c>
      <c r="R276" t="s">
        <v>9</v>
      </c>
      <c r="S276">
        <v>89</v>
      </c>
      <c r="T276" s="3" t="s">
        <v>487</v>
      </c>
    </row>
    <row r="277" spans="1:20" x14ac:dyDescent="0.25">
      <c r="A277">
        <v>275</v>
      </c>
      <c r="B277" t="s">
        <v>322</v>
      </c>
      <c r="C277">
        <v>95133</v>
      </c>
      <c r="D277" t="str">
        <f>"245-42-029"</f>
        <v>245-42-029</v>
      </c>
      <c r="E277" t="s">
        <v>11</v>
      </c>
      <c r="F277" t="s">
        <v>11</v>
      </c>
      <c r="G277">
        <v>55</v>
      </c>
      <c r="H277">
        <v>125</v>
      </c>
      <c r="I277" s="1">
        <v>3.3884601085899502</v>
      </c>
      <c r="J277" s="24" t="s">
        <v>12</v>
      </c>
      <c r="K277" t="s">
        <v>484</v>
      </c>
      <c r="L277" t="s">
        <v>485</v>
      </c>
      <c r="M277" t="s">
        <v>486</v>
      </c>
      <c r="N277" s="2" t="s">
        <v>481</v>
      </c>
      <c r="O277">
        <f>S277</f>
        <v>238</v>
      </c>
      <c r="R277" t="s">
        <v>9</v>
      </c>
      <c r="S277">
        <v>238</v>
      </c>
    </row>
    <row r="278" spans="1:20" x14ac:dyDescent="0.25">
      <c r="A278">
        <v>276</v>
      </c>
      <c r="B278" t="s">
        <v>323</v>
      </c>
      <c r="C278">
        <v>95133</v>
      </c>
      <c r="D278" t="str">
        <f>"245-42-030"</f>
        <v>245-42-030</v>
      </c>
      <c r="E278" t="s">
        <v>11</v>
      </c>
      <c r="F278" t="s">
        <v>11</v>
      </c>
      <c r="G278">
        <v>55</v>
      </c>
      <c r="H278">
        <v>125</v>
      </c>
      <c r="I278" s="1">
        <v>0.63372587753485798</v>
      </c>
      <c r="J278" s="24" t="s">
        <v>48</v>
      </c>
      <c r="K278" t="s">
        <v>484</v>
      </c>
      <c r="L278" t="s">
        <v>485</v>
      </c>
      <c r="M278" t="s">
        <v>486</v>
      </c>
      <c r="N278" s="2" t="s">
        <v>481</v>
      </c>
      <c r="O278">
        <f>S278</f>
        <v>48</v>
      </c>
      <c r="R278" t="s">
        <v>9</v>
      </c>
      <c r="S278">
        <v>48</v>
      </c>
    </row>
    <row r="279" spans="1:20" x14ac:dyDescent="0.25">
      <c r="A279">
        <v>277</v>
      </c>
      <c r="B279" t="s">
        <v>324</v>
      </c>
      <c r="C279">
        <v>95128</v>
      </c>
      <c r="D279" t="str">
        <f>"274-51-016"</f>
        <v>274-51-016</v>
      </c>
      <c r="E279" t="s">
        <v>6</v>
      </c>
      <c r="F279" t="s">
        <v>33</v>
      </c>
      <c r="G279">
        <v>0</v>
      </c>
      <c r="H279">
        <v>0</v>
      </c>
      <c r="I279" s="1">
        <v>0.94853749337750304</v>
      </c>
      <c r="J279" s="24" t="s">
        <v>300</v>
      </c>
      <c r="K279" t="s">
        <v>484</v>
      </c>
      <c r="L279" t="s">
        <v>485</v>
      </c>
      <c r="M279" t="s">
        <v>486</v>
      </c>
      <c r="N279" s="2" t="s">
        <v>481</v>
      </c>
      <c r="O279">
        <f>S279</f>
        <v>72</v>
      </c>
      <c r="R279" t="s">
        <v>9</v>
      </c>
      <c r="S279">
        <v>72</v>
      </c>
      <c r="T279" s="3" t="s">
        <v>487</v>
      </c>
    </row>
    <row r="280" spans="1:20" x14ac:dyDescent="0.25">
      <c r="A280">
        <v>278</v>
      </c>
      <c r="B280" t="s">
        <v>325</v>
      </c>
      <c r="C280">
        <v>95134</v>
      </c>
      <c r="D280" t="str">
        <f>"097-52-027"</f>
        <v>097-52-027</v>
      </c>
      <c r="E280" t="s">
        <v>59</v>
      </c>
      <c r="F280" t="s">
        <v>59</v>
      </c>
      <c r="G280">
        <v>0</v>
      </c>
      <c r="H280">
        <v>0</v>
      </c>
      <c r="I280" s="1">
        <v>4.15663645485518</v>
      </c>
      <c r="J280" s="24" t="s">
        <v>60</v>
      </c>
      <c r="K280" t="s">
        <v>484</v>
      </c>
      <c r="L280" t="s">
        <v>489</v>
      </c>
      <c r="M280" t="s">
        <v>486</v>
      </c>
      <c r="N280" t="s">
        <v>483</v>
      </c>
      <c r="O280">
        <f>S280</f>
        <v>312</v>
      </c>
      <c r="R280" t="s">
        <v>9</v>
      </c>
      <c r="S280">
        <v>312</v>
      </c>
      <c r="T280" t="s">
        <v>619</v>
      </c>
    </row>
    <row r="281" spans="1:20" x14ac:dyDescent="0.25">
      <c r="A281">
        <v>279</v>
      </c>
      <c r="B281" t="s">
        <v>326</v>
      </c>
      <c r="C281">
        <v>95136</v>
      </c>
      <c r="D281" t="str">
        <f>"459-05-030"</f>
        <v>459-05-030</v>
      </c>
      <c r="E281" t="s">
        <v>6</v>
      </c>
      <c r="F281" t="s">
        <v>33</v>
      </c>
      <c r="G281">
        <v>0</v>
      </c>
      <c r="H281">
        <v>0</v>
      </c>
      <c r="I281" s="1">
        <v>1.6324639419034499</v>
      </c>
      <c r="J281" s="24" t="s">
        <v>12</v>
      </c>
      <c r="K281" t="s">
        <v>484</v>
      </c>
      <c r="L281" t="s">
        <v>485</v>
      </c>
      <c r="M281" t="s">
        <v>486</v>
      </c>
      <c r="N281" s="2" t="s">
        <v>481</v>
      </c>
      <c r="O281">
        <f>S281</f>
        <v>148</v>
      </c>
      <c r="R281" t="s">
        <v>9</v>
      </c>
      <c r="S281">
        <v>148</v>
      </c>
      <c r="T281" t="s">
        <v>488</v>
      </c>
    </row>
    <row r="282" spans="1:20" x14ac:dyDescent="0.25">
      <c r="A282">
        <v>280</v>
      </c>
      <c r="B282" t="s">
        <v>327</v>
      </c>
      <c r="C282">
        <v>95136</v>
      </c>
      <c r="D282" t="str">
        <f>"459-05-031"</f>
        <v>459-05-031</v>
      </c>
      <c r="E282" t="s">
        <v>6</v>
      </c>
      <c r="F282" t="s">
        <v>33</v>
      </c>
      <c r="G282">
        <v>0</v>
      </c>
      <c r="H282">
        <v>0</v>
      </c>
      <c r="I282" s="1">
        <v>1.0623500259891001</v>
      </c>
      <c r="J282" s="24" t="s">
        <v>12</v>
      </c>
      <c r="K282" t="s">
        <v>484</v>
      </c>
      <c r="L282" t="s">
        <v>485</v>
      </c>
      <c r="M282" t="s">
        <v>486</v>
      </c>
      <c r="N282" s="2" t="s">
        <v>481</v>
      </c>
      <c r="O282">
        <f>S282</f>
        <v>107</v>
      </c>
      <c r="R282" t="s">
        <v>9</v>
      </c>
      <c r="S282">
        <v>107</v>
      </c>
      <c r="T282" t="s">
        <v>488</v>
      </c>
    </row>
    <row r="283" spans="1:20" x14ac:dyDescent="0.25">
      <c r="A283">
        <v>281</v>
      </c>
      <c r="B283" t="s">
        <v>328</v>
      </c>
      <c r="C283">
        <v>95125</v>
      </c>
      <c r="D283" t="str">
        <f>"284-17-024"</f>
        <v>284-17-024</v>
      </c>
      <c r="E283" t="s">
        <v>6</v>
      </c>
      <c r="F283" t="s">
        <v>30</v>
      </c>
      <c r="G283">
        <v>0</v>
      </c>
      <c r="H283">
        <v>0</v>
      </c>
      <c r="I283" s="1">
        <v>1.71115626542925</v>
      </c>
      <c r="J283" s="24" t="s">
        <v>12</v>
      </c>
      <c r="K283" t="s">
        <v>484</v>
      </c>
      <c r="L283" t="s">
        <v>485</v>
      </c>
      <c r="M283" t="s">
        <v>486</v>
      </c>
      <c r="N283" s="2" t="s">
        <v>481</v>
      </c>
      <c r="O283">
        <f>S283</f>
        <v>155</v>
      </c>
      <c r="R283" t="s">
        <v>9</v>
      </c>
      <c r="S283">
        <v>155</v>
      </c>
      <c r="T283" t="s">
        <v>488</v>
      </c>
    </row>
    <row r="284" spans="1:20" x14ac:dyDescent="0.25">
      <c r="A284">
        <v>282</v>
      </c>
      <c r="B284" t="s">
        <v>329</v>
      </c>
      <c r="C284">
        <v>95125</v>
      </c>
      <c r="D284" t="str">
        <f>"284-17-023"</f>
        <v>284-17-023</v>
      </c>
      <c r="E284" t="s">
        <v>6</v>
      </c>
      <c r="F284" t="s">
        <v>30</v>
      </c>
      <c r="G284">
        <v>0</v>
      </c>
      <c r="H284">
        <v>0</v>
      </c>
      <c r="I284" s="1">
        <v>0.85849088782683602</v>
      </c>
      <c r="J284" s="24" t="s">
        <v>12</v>
      </c>
      <c r="K284" t="s">
        <v>484</v>
      </c>
      <c r="L284" t="s">
        <v>485</v>
      </c>
      <c r="M284" t="s">
        <v>486</v>
      </c>
      <c r="N284" s="2" t="s">
        <v>481</v>
      </c>
      <c r="O284">
        <f>S284</f>
        <v>75</v>
      </c>
      <c r="R284" t="s">
        <v>9</v>
      </c>
      <c r="S284">
        <v>75</v>
      </c>
      <c r="T284" t="s">
        <v>488</v>
      </c>
    </row>
    <row r="285" spans="1:20" ht="30" x14ac:dyDescent="0.25">
      <c r="A285">
        <v>283</v>
      </c>
      <c r="B285" t="s">
        <v>330</v>
      </c>
      <c r="C285">
        <v>95125</v>
      </c>
      <c r="D285" t="str">
        <f>"456-10-021"</f>
        <v>456-10-021</v>
      </c>
      <c r="E285" t="s">
        <v>64</v>
      </c>
      <c r="F285" t="s">
        <v>64</v>
      </c>
      <c r="G285">
        <v>30</v>
      </c>
      <c r="H285">
        <v>95</v>
      </c>
      <c r="I285" s="1">
        <v>0.59059120449807101</v>
      </c>
      <c r="J285" s="24" t="s">
        <v>263</v>
      </c>
      <c r="K285" t="s">
        <v>484</v>
      </c>
      <c r="L285" t="s">
        <v>485</v>
      </c>
      <c r="M285" t="s">
        <v>486</v>
      </c>
      <c r="N285" s="2" t="s">
        <v>481</v>
      </c>
      <c r="O285">
        <f>S285</f>
        <v>44</v>
      </c>
      <c r="R285" t="s">
        <v>9</v>
      </c>
      <c r="S285">
        <v>44</v>
      </c>
    </row>
    <row r="286" spans="1:20" ht="30" x14ac:dyDescent="0.25">
      <c r="A286">
        <v>284</v>
      </c>
      <c r="B286" t="s">
        <v>331</v>
      </c>
      <c r="C286">
        <v>95125</v>
      </c>
      <c r="D286" t="str">
        <f>"456-10-014"</f>
        <v>456-10-014</v>
      </c>
      <c r="E286" t="s">
        <v>64</v>
      </c>
      <c r="F286" t="s">
        <v>64</v>
      </c>
      <c r="G286">
        <v>30</v>
      </c>
      <c r="H286">
        <v>95</v>
      </c>
      <c r="I286" s="1">
        <v>0.72118602607470805</v>
      </c>
      <c r="J286" s="24" t="s">
        <v>65</v>
      </c>
      <c r="K286" t="s">
        <v>484</v>
      </c>
      <c r="L286" t="s">
        <v>485</v>
      </c>
      <c r="M286" t="s">
        <v>486</v>
      </c>
      <c r="N286" s="2" t="s">
        <v>481</v>
      </c>
      <c r="O286">
        <f>S286</f>
        <v>64</v>
      </c>
      <c r="R286" t="s">
        <v>9</v>
      </c>
      <c r="S286">
        <v>64</v>
      </c>
    </row>
    <row r="287" spans="1:20" x14ac:dyDescent="0.25">
      <c r="A287">
        <v>285</v>
      </c>
      <c r="B287" t="s">
        <v>332</v>
      </c>
      <c r="C287">
        <v>95125</v>
      </c>
      <c r="D287" t="str">
        <f>"456-03-003"</f>
        <v>456-03-003</v>
      </c>
      <c r="E287" t="s">
        <v>64</v>
      </c>
      <c r="F287" t="s">
        <v>64</v>
      </c>
      <c r="G287">
        <v>30</v>
      </c>
      <c r="H287">
        <v>95</v>
      </c>
      <c r="I287" s="1">
        <v>0.59437833225798797</v>
      </c>
      <c r="J287" s="24" t="s">
        <v>17</v>
      </c>
      <c r="K287" t="s">
        <v>484</v>
      </c>
      <c r="L287" t="s">
        <v>485</v>
      </c>
      <c r="M287" t="s">
        <v>486</v>
      </c>
      <c r="N287" s="2" t="s">
        <v>481</v>
      </c>
      <c r="O287">
        <f>S287</f>
        <v>43</v>
      </c>
      <c r="R287" t="s">
        <v>9</v>
      </c>
      <c r="S287">
        <v>43</v>
      </c>
    </row>
    <row r="288" spans="1:20" x14ac:dyDescent="0.25">
      <c r="A288">
        <v>286</v>
      </c>
      <c r="B288" t="s">
        <v>333</v>
      </c>
      <c r="C288">
        <v>95125</v>
      </c>
      <c r="D288" t="str">
        <f>"456-09-008"</f>
        <v>456-09-008</v>
      </c>
      <c r="E288" t="s">
        <v>64</v>
      </c>
      <c r="F288" t="s">
        <v>64</v>
      </c>
      <c r="G288">
        <v>30</v>
      </c>
      <c r="H288">
        <v>95</v>
      </c>
      <c r="I288" s="1">
        <v>0.50268730061433597</v>
      </c>
      <c r="J288" s="24" t="s">
        <v>17</v>
      </c>
      <c r="K288" t="s">
        <v>484</v>
      </c>
      <c r="L288" t="s">
        <v>485</v>
      </c>
      <c r="M288" t="s">
        <v>486</v>
      </c>
      <c r="N288" s="2" t="s">
        <v>481</v>
      </c>
      <c r="O288">
        <f>S288</f>
        <v>43</v>
      </c>
      <c r="R288" t="s">
        <v>9</v>
      </c>
      <c r="S288">
        <v>43</v>
      </c>
    </row>
    <row r="289" spans="1:19" x14ac:dyDescent="0.25">
      <c r="A289">
        <v>287</v>
      </c>
      <c r="B289" t="s">
        <v>334</v>
      </c>
      <c r="C289">
        <v>95125</v>
      </c>
      <c r="D289" t="str">
        <f>"456-09-009"</f>
        <v>456-09-009</v>
      </c>
      <c r="E289" t="s">
        <v>64</v>
      </c>
      <c r="F289" t="s">
        <v>64</v>
      </c>
      <c r="G289">
        <v>30</v>
      </c>
      <c r="H289">
        <v>95</v>
      </c>
      <c r="I289" s="1">
        <v>7.1168876874227002E-2</v>
      </c>
      <c r="J289" s="24" t="s">
        <v>17</v>
      </c>
      <c r="K289" t="s">
        <v>484</v>
      </c>
      <c r="L289" t="s">
        <v>485</v>
      </c>
      <c r="M289" t="s">
        <v>486</v>
      </c>
      <c r="N289" s="2" t="s">
        <v>481</v>
      </c>
      <c r="O289">
        <f>S289</f>
        <v>4</v>
      </c>
      <c r="R289" t="s">
        <v>9</v>
      </c>
      <c r="S289">
        <v>4</v>
      </c>
    </row>
    <row r="290" spans="1:19" x14ac:dyDescent="0.25">
      <c r="A290">
        <v>288</v>
      </c>
      <c r="B290" t="s">
        <v>335</v>
      </c>
      <c r="C290">
        <v>95126</v>
      </c>
      <c r="D290" t="str">
        <f>"264-02-045"</f>
        <v>264-02-045</v>
      </c>
      <c r="E290" t="s">
        <v>42</v>
      </c>
      <c r="F290" t="s">
        <v>42</v>
      </c>
      <c r="G290">
        <v>0</v>
      </c>
      <c r="H290">
        <v>30</v>
      </c>
      <c r="I290" s="1">
        <v>1.8334782119630799</v>
      </c>
      <c r="J290" s="24" t="s">
        <v>43</v>
      </c>
      <c r="K290" t="s">
        <v>484</v>
      </c>
      <c r="L290" t="s">
        <v>485</v>
      </c>
      <c r="M290" t="s">
        <v>486</v>
      </c>
      <c r="N290" t="s">
        <v>483</v>
      </c>
      <c r="O290">
        <f>S290</f>
        <v>27</v>
      </c>
      <c r="R290" t="s">
        <v>9</v>
      </c>
      <c r="S290">
        <v>27</v>
      </c>
    </row>
    <row r="291" spans="1:19" x14ac:dyDescent="0.25">
      <c r="A291">
        <v>289</v>
      </c>
      <c r="B291" t="s">
        <v>336</v>
      </c>
      <c r="C291">
        <v>95126</v>
      </c>
      <c r="D291" t="str">
        <f>"264-06-005"</f>
        <v>264-06-005</v>
      </c>
      <c r="E291" t="s">
        <v>42</v>
      </c>
      <c r="F291" t="s">
        <v>42</v>
      </c>
      <c r="G291">
        <v>0</v>
      </c>
      <c r="H291">
        <v>30</v>
      </c>
      <c r="I291" s="1">
        <v>0.84812177076055595</v>
      </c>
      <c r="J291" s="24" t="s">
        <v>43</v>
      </c>
      <c r="K291" t="s">
        <v>484</v>
      </c>
      <c r="L291" t="s">
        <v>485</v>
      </c>
      <c r="M291" t="s">
        <v>486</v>
      </c>
      <c r="P291">
        <f>S291</f>
        <v>20</v>
      </c>
      <c r="R291" t="s">
        <v>25</v>
      </c>
      <c r="S291">
        <v>20</v>
      </c>
    </row>
    <row r="292" spans="1:19" x14ac:dyDescent="0.25">
      <c r="A292">
        <v>290</v>
      </c>
      <c r="B292" t="s">
        <v>337</v>
      </c>
      <c r="C292">
        <v>95126</v>
      </c>
      <c r="D292" t="str">
        <f>"264-07-040"</f>
        <v>264-07-040</v>
      </c>
      <c r="E292" t="s">
        <v>42</v>
      </c>
      <c r="F292" t="s">
        <v>42</v>
      </c>
      <c r="G292">
        <v>0</v>
      </c>
      <c r="H292">
        <v>30</v>
      </c>
      <c r="I292" s="1">
        <v>0.58158770809675198</v>
      </c>
      <c r="J292" s="24" t="s">
        <v>14</v>
      </c>
      <c r="K292" t="s">
        <v>484</v>
      </c>
      <c r="L292" t="s">
        <v>485</v>
      </c>
      <c r="M292" t="s">
        <v>486</v>
      </c>
      <c r="P292">
        <f>S292</f>
        <v>17</v>
      </c>
      <c r="R292" t="s">
        <v>25</v>
      </c>
      <c r="S292">
        <v>17</v>
      </c>
    </row>
    <row r="293" spans="1:19" x14ac:dyDescent="0.25">
      <c r="A293">
        <v>291</v>
      </c>
      <c r="B293" t="s">
        <v>338</v>
      </c>
      <c r="C293">
        <v>95126</v>
      </c>
      <c r="D293" t="str">
        <f>"264-15-033"</f>
        <v>264-15-033</v>
      </c>
      <c r="E293" t="s">
        <v>64</v>
      </c>
      <c r="F293" t="s">
        <v>64</v>
      </c>
      <c r="G293">
        <v>30</v>
      </c>
      <c r="H293">
        <v>95</v>
      </c>
      <c r="I293" s="1">
        <v>0.73879249903734101</v>
      </c>
      <c r="J293" s="24" t="s">
        <v>12</v>
      </c>
      <c r="K293" t="s">
        <v>484</v>
      </c>
      <c r="L293" t="s">
        <v>485</v>
      </c>
      <c r="M293" t="s">
        <v>486</v>
      </c>
      <c r="N293" s="2" t="s">
        <v>481</v>
      </c>
      <c r="O293">
        <f>S293</f>
        <v>59</v>
      </c>
      <c r="R293" t="s">
        <v>9</v>
      </c>
      <c r="S293">
        <v>59</v>
      </c>
    </row>
    <row r="294" spans="1:19" x14ac:dyDescent="0.25">
      <c r="A294">
        <v>292</v>
      </c>
      <c r="B294" t="s">
        <v>339</v>
      </c>
      <c r="C294">
        <v>95126</v>
      </c>
      <c r="D294" t="str">
        <f>"264-20-059"</f>
        <v>264-20-059</v>
      </c>
      <c r="E294" t="s">
        <v>23</v>
      </c>
      <c r="F294" t="s">
        <v>56</v>
      </c>
      <c r="G294">
        <v>0</v>
      </c>
      <c r="H294">
        <v>800</v>
      </c>
      <c r="I294" s="1">
        <v>8.2647052309216304E-2</v>
      </c>
      <c r="J294" s="24" t="s">
        <v>12</v>
      </c>
      <c r="K294" t="s">
        <v>484</v>
      </c>
      <c r="L294" t="s">
        <v>485</v>
      </c>
      <c r="M294" t="s">
        <v>486</v>
      </c>
      <c r="P294">
        <f>S294</f>
        <v>34</v>
      </c>
      <c r="R294" t="s">
        <v>25</v>
      </c>
      <c r="S294">
        <v>34</v>
      </c>
    </row>
    <row r="295" spans="1:19" x14ac:dyDescent="0.25">
      <c r="A295">
        <v>293</v>
      </c>
      <c r="B295" t="s">
        <v>340</v>
      </c>
      <c r="C295">
        <v>95126</v>
      </c>
      <c r="D295" t="str">
        <f>"264-20-129"</f>
        <v>264-20-129</v>
      </c>
      <c r="E295" t="s">
        <v>23</v>
      </c>
      <c r="F295" t="s">
        <v>56</v>
      </c>
      <c r="G295">
        <v>0</v>
      </c>
      <c r="H295">
        <v>800</v>
      </c>
      <c r="I295" s="1">
        <v>0.64225465666909398</v>
      </c>
      <c r="J295" s="24" t="s">
        <v>12</v>
      </c>
      <c r="K295" t="s">
        <v>484</v>
      </c>
      <c r="L295" t="s">
        <v>485</v>
      </c>
      <c r="M295" t="s">
        <v>486</v>
      </c>
      <c r="Q295">
        <f>S295</f>
        <v>99</v>
      </c>
      <c r="R295" t="s">
        <v>34</v>
      </c>
      <c r="S295">
        <v>99</v>
      </c>
    </row>
    <row r="296" spans="1:19" x14ac:dyDescent="0.25">
      <c r="A296">
        <v>294</v>
      </c>
      <c r="B296" t="s">
        <v>341</v>
      </c>
      <c r="C296">
        <v>95126</v>
      </c>
      <c r="D296" t="str">
        <f>"264-20-112"</f>
        <v>264-20-112</v>
      </c>
      <c r="E296" t="s">
        <v>23</v>
      </c>
      <c r="F296" t="s">
        <v>56</v>
      </c>
      <c r="G296">
        <v>0</v>
      </c>
      <c r="H296">
        <v>800</v>
      </c>
      <c r="I296" s="1">
        <v>8.2771605180960994E-2</v>
      </c>
      <c r="J296" s="24" t="s">
        <v>12</v>
      </c>
      <c r="K296" t="s">
        <v>484</v>
      </c>
      <c r="L296" t="s">
        <v>485</v>
      </c>
      <c r="M296" t="s">
        <v>486</v>
      </c>
      <c r="P296">
        <f>S296</f>
        <v>13</v>
      </c>
      <c r="R296" t="s">
        <v>25</v>
      </c>
      <c r="S296">
        <v>13</v>
      </c>
    </row>
    <row r="297" spans="1:19" x14ac:dyDescent="0.25">
      <c r="A297">
        <v>295</v>
      </c>
      <c r="B297" t="s">
        <v>342</v>
      </c>
      <c r="C297">
        <v>95126</v>
      </c>
      <c r="D297" t="str">
        <f>"264-20-065"</f>
        <v>264-20-065</v>
      </c>
      <c r="E297" t="s">
        <v>23</v>
      </c>
      <c r="F297" t="s">
        <v>56</v>
      </c>
      <c r="G297">
        <v>0</v>
      </c>
      <c r="H297">
        <v>800</v>
      </c>
      <c r="I297" s="1">
        <v>0.125544299214151</v>
      </c>
      <c r="J297" s="24" t="s">
        <v>17</v>
      </c>
      <c r="K297" t="s">
        <v>484</v>
      </c>
      <c r="L297" t="s">
        <v>485</v>
      </c>
      <c r="M297" t="s">
        <v>486</v>
      </c>
      <c r="P297">
        <f>S297</f>
        <v>51</v>
      </c>
      <c r="R297" t="s">
        <v>25</v>
      </c>
      <c r="S297">
        <v>51</v>
      </c>
    </row>
    <row r="298" spans="1:19" x14ac:dyDescent="0.25">
      <c r="A298">
        <v>296</v>
      </c>
      <c r="B298" t="s">
        <v>343</v>
      </c>
      <c r="C298">
        <v>95126</v>
      </c>
      <c r="D298" t="str">
        <f>"264-20-068"</f>
        <v>264-20-068</v>
      </c>
      <c r="E298" t="s">
        <v>23</v>
      </c>
      <c r="F298" t="s">
        <v>56</v>
      </c>
      <c r="G298">
        <v>0</v>
      </c>
      <c r="H298">
        <v>800</v>
      </c>
      <c r="I298" s="1">
        <v>0.115916767391509</v>
      </c>
      <c r="J298" s="24" t="s">
        <v>8</v>
      </c>
      <c r="K298" t="s">
        <v>484</v>
      </c>
      <c r="L298" t="s">
        <v>485</v>
      </c>
      <c r="M298" t="s">
        <v>486</v>
      </c>
      <c r="P298">
        <f>S298</f>
        <v>18</v>
      </c>
      <c r="R298" t="s">
        <v>25</v>
      </c>
      <c r="S298">
        <v>18</v>
      </c>
    </row>
    <row r="299" spans="1:19" x14ac:dyDescent="0.25">
      <c r="A299">
        <v>297</v>
      </c>
      <c r="B299" t="s">
        <v>344</v>
      </c>
      <c r="C299">
        <v>95126</v>
      </c>
      <c r="D299" t="str">
        <f>"264-20-073"</f>
        <v>264-20-073</v>
      </c>
      <c r="E299" t="s">
        <v>23</v>
      </c>
      <c r="F299" t="s">
        <v>56</v>
      </c>
      <c r="G299">
        <v>0</v>
      </c>
      <c r="H299">
        <v>800</v>
      </c>
      <c r="I299" s="1">
        <v>0.11695256252474399</v>
      </c>
      <c r="J299" s="24" t="s">
        <v>17</v>
      </c>
      <c r="K299" t="s">
        <v>484</v>
      </c>
      <c r="L299" t="s">
        <v>485</v>
      </c>
      <c r="M299" t="s">
        <v>486</v>
      </c>
      <c r="P299">
        <f>S299</f>
        <v>23</v>
      </c>
      <c r="R299" t="s">
        <v>25</v>
      </c>
      <c r="S299">
        <v>23</v>
      </c>
    </row>
    <row r="300" spans="1:19" x14ac:dyDescent="0.25">
      <c r="A300">
        <v>298</v>
      </c>
      <c r="B300" t="s">
        <v>345</v>
      </c>
      <c r="C300">
        <v>95126</v>
      </c>
      <c r="D300" t="str">
        <f>"264-20-074"</f>
        <v>264-20-074</v>
      </c>
      <c r="E300" t="s">
        <v>23</v>
      </c>
      <c r="F300" t="s">
        <v>56</v>
      </c>
      <c r="G300">
        <v>0</v>
      </c>
      <c r="H300">
        <v>800</v>
      </c>
      <c r="I300" s="1">
        <v>0.118033885119225</v>
      </c>
      <c r="J300" s="24" t="s">
        <v>17</v>
      </c>
      <c r="K300" t="s">
        <v>484</v>
      </c>
      <c r="L300" t="s">
        <v>485</v>
      </c>
      <c r="M300" t="s">
        <v>486</v>
      </c>
      <c r="P300">
        <f>S300</f>
        <v>48</v>
      </c>
      <c r="R300" t="s">
        <v>25</v>
      </c>
      <c r="S300">
        <v>48</v>
      </c>
    </row>
    <row r="301" spans="1:19" x14ac:dyDescent="0.25">
      <c r="A301">
        <v>299</v>
      </c>
      <c r="B301" t="s">
        <v>94</v>
      </c>
      <c r="C301">
        <v>95126</v>
      </c>
      <c r="D301" t="str">
        <f>"264-20-108"</f>
        <v>264-20-108</v>
      </c>
      <c r="E301" t="s">
        <v>23</v>
      </c>
      <c r="F301" t="s">
        <v>56</v>
      </c>
      <c r="G301">
        <v>0</v>
      </c>
      <c r="H301">
        <v>800</v>
      </c>
      <c r="I301" s="1">
        <v>0.14420408950013799</v>
      </c>
      <c r="J301" s="24" t="s">
        <v>12</v>
      </c>
      <c r="K301" t="s">
        <v>484</v>
      </c>
      <c r="L301" t="s">
        <v>485</v>
      </c>
      <c r="M301" t="s">
        <v>486</v>
      </c>
      <c r="P301">
        <f>S301</f>
        <v>30</v>
      </c>
      <c r="R301" t="s">
        <v>25</v>
      </c>
      <c r="S301">
        <v>30</v>
      </c>
    </row>
    <row r="302" spans="1:19" x14ac:dyDescent="0.25">
      <c r="A302">
        <v>300</v>
      </c>
      <c r="B302" t="s">
        <v>346</v>
      </c>
      <c r="C302">
        <v>95126</v>
      </c>
      <c r="D302" t="str">
        <f>"264-20-110"</f>
        <v>264-20-110</v>
      </c>
      <c r="E302" t="s">
        <v>23</v>
      </c>
      <c r="F302" t="s">
        <v>56</v>
      </c>
      <c r="G302">
        <v>0</v>
      </c>
      <c r="H302">
        <v>800</v>
      </c>
      <c r="I302" s="1">
        <v>0.115352868466761</v>
      </c>
      <c r="J302" s="24" t="s">
        <v>17</v>
      </c>
      <c r="K302" t="s">
        <v>484</v>
      </c>
      <c r="L302" t="s">
        <v>485</v>
      </c>
      <c r="M302" t="s">
        <v>486</v>
      </c>
      <c r="P302">
        <f>S302</f>
        <v>23</v>
      </c>
      <c r="R302" t="s">
        <v>25</v>
      </c>
      <c r="S302">
        <v>23</v>
      </c>
    </row>
    <row r="303" spans="1:19" x14ac:dyDescent="0.25">
      <c r="A303">
        <v>301</v>
      </c>
      <c r="B303" t="s">
        <v>347</v>
      </c>
      <c r="C303">
        <v>95126</v>
      </c>
      <c r="D303" t="str">
        <f>"264-20-081"</f>
        <v>264-20-081</v>
      </c>
      <c r="E303" t="s">
        <v>23</v>
      </c>
      <c r="F303" t="s">
        <v>56</v>
      </c>
      <c r="G303">
        <v>0</v>
      </c>
      <c r="H303">
        <v>800</v>
      </c>
      <c r="I303" s="1">
        <v>0.46052097846217299</v>
      </c>
      <c r="J303" s="24" t="s">
        <v>12</v>
      </c>
      <c r="K303" t="s">
        <v>484</v>
      </c>
      <c r="L303" t="s">
        <v>485</v>
      </c>
      <c r="M303" t="s">
        <v>486</v>
      </c>
      <c r="P303">
        <f>S303</f>
        <v>177</v>
      </c>
      <c r="R303" t="s">
        <v>25</v>
      </c>
      <c r="S303">
        <v>177</v>
      </c>
    </row>
    <row r="304" spans="1:19" x14ac:dyDescent="0.25">
      <c r="A304">
        <v>302</v>
      </c>
      <c r="B304" t="s">
        <v>348</v>
      </c>
      <c r="C304">
        <v>95126</v>
      </c>
      <c r="D304" t="str">
        <f>"264-20-128"</f>
        <v>264-20-128</v>
      </c>
      <c r="E304" t="s">
        <v>23</v>
      </c>
      <c r="F304" t="s">
        <v>56</v>
      </c>
      <c r="G304">
        <v>0</v>
      </c>
      <c r="H304">
        <v>800</v>
      </c>
      <c r="I304" s="1">
        <v>0.17968142764355599</v>
      </c>
      <c r="J304" s="24" t="s">
        <v>17</v>
      </c>
      <c r="K304" t="s">
        <v>484</v>
      </c>
      <c r="L304" t="s">
        <v>485</v>
      </c>
      <c r="M304" t="s">
        <v>486</v>
      </c>
      <c r="P304">
        <f>S304</f>
        <v>36</v>
      </c>
      <c r="R304" t="s">
        <v>25</v>
      </c>
      <c r="S304">
        <v>36</v>
      </c>
    </row>
    <row r="305" spans="1:20" x14ac:dyDescent="0.25">
      <c r="A305">
        <v>303</v>
      </c>
      <c r="B305" t="s">
        <v>349</v>
      </c>
      <c r="C305">
        <v>95117</v>
      </c>
      <c r="D305" t="str">
        <f>"303-26-061"</f>
        <v>303-26-061</v>
      </c>
      <c r="E305" t="s">
        <v>11</v>
      </c>
      <c r="F305" t="s">
        <v>11</v>
      </c>
      <c r="G305">
        <v>65</v>
      </c>
      <c r="H305">
        <v>250</v>
      </c>
      <c r="I305" s="1">
        <v>1.7754056503456299</v>
      </c>
      <c r="J305" s="24" t="s">
        <v>12</v>
      </c>
      <c r="K305" t="s">
        <v>484</v>
      </c>
      <c r="L305" t="s">
        <v>485</v>
      </c>
      <c r="M305" t="s">
        <v>486</v>
      </c>
      <c r="N305" s="2" t="s">
        <v>481</v>
      </c>
      <c r="O305">
        <f>S305</f>
        <v>188</v>
      </c>
      <c r="R305" t="s">
        <v>9</v>
      </c>
      <c r="S305">
        <v>188</v>
      </c>
    </row>
    <row r="306" spans="1:20" x14ac:dyDescent="0.25">
      <c r="A306">
        <v>304</v>
      </c>
      <c r="B306" t="s">
        <v>350</v>
      </c>
      <c r="C306">
        <v>95129</v>
      </c>
      <c r="D306" t="str">
        <f>"294-40-011"</f>
        <v>294-40-011</v>
      </c>
      <c r="E306" t="s">
        <v>11</v>
      </c>
      <c r="F306" t="s">
        <v>11</v>
      </c>
      <c r="G306">
        <v>65</v>
      </c>
      <c r="H306">
        <v>250</v>
      </c>
      <c r="I306" s="1">
        <v>0.10541297909349701</v>
      </c>
      <c r="J306" s="24" t="s">
        <v>12</v>
      </c>
      <c r="K306" t="s">
        <v>484</v>
      </c>
      <c r="L306" t="s">
        <v>485</v>
      </c>
      <c r="M306" t="s">
        <v>486</v>
      </c>
      <c r="P306">
        <f>S306</f>
        <v>17</v>
      </c>
      <c r="R306" t="s">
        <v>25</v>
      </c>
      <c r="S306">
        <v>17</v>
      </c>
    </row>
    <row r="307" spans="1:20" x14ac:dyDescent="0.25">
      <c r="A307">
        <v>305</v>
      </c>
      <c r="B307" t="s">
        <v>351</v>
      </c>
      <c r="C307">
        <v>95129</v>
      </c>
      <c r="D307" t="str">
        <f>"294-41-005"</f>
        <v>294-41-005</v>
      </c>
      <c r="E307" t="s">
        <v>11</v>
      </c>
      <c r="F307" t="s">
        <v>11</v>
      </c>
      <c r="G307">
        <v>65</v>
      </c>
      <c r="H307">
        <v>250</v>
      </c>
      <c r="I307" s="1">
        <v>5.1650483881974196</v>
      </c>
      <c r="J307" s="24" t="s">
        <v>12</v>
      </c>
      <c r="K307" t="s">
        <v>484</v>
      </c>
      <c r="L307" t="s">
        <v>485</v>
      </c>
      <c r="M307" t="s">
        <v>486</v>
      </c>
      <c r="N307" s="2" t="s">
        <v>481</v>
      </c>
      <c r="O307">
        <f>S307</f>
        <v>336</v>
      </c>
      <c r="R307" t="s">
        <v>9</v>
      </c>
      <c r="S307">
        <v>336</v>
      </c>
    </row>
    <row r="308" spans="1:20" x14ac:dyDescent="0.25">
      <c r="A308">
        <v>306</v>
      </c>
      <c r="B308" t="s">
        <v>352</v>
      </c>
      <c r="C308">
        <v>95129</v>
      </c>
      <c r="D308" t="str">
        <f>"372-23-022"</f>
        <v>372-23-022</v>
      </c>
      <c r="E308" t="s">
        <v>6</v>
      </c>
      <c r="F308" t="s">
        <v>33</v>
      </c>
      <c r="G308">
        <v>0</v>
      </c>
      <c r="H308">
        <v>0</v>
      </c>
      <c r="I308" s="1">
        <v>0.96105509087297802</v>
      </c>
      <c r="J308" s="24" t="s">
        <v>14</v>
      </c>
      <c r="K308" t="s">
        <v>484</v>
      </c>
      <c r="L308" t="s">
        <v>485</v>
      </c>
      <c r="M308" t="s">
        <v>486</v>
      </c>
      <c r="N308" s="2" t="s">
        <v>481</v>
      </c>
      <c r="O308">
        <f>S308</f>
        <v>101</v>
      </c>
      <c r="R308" t="s">
        <v>9</v>
      </c>
      <c r="S308">
        <v>101</v>
      </c>
      <c r="T308" t="s">
        <v>488</v>
      </c>
    </row>
    <row r="309" spans="1:20" x14ac:dyDescent="0.25">
      <c r="A309">
        <v>307</v>
      </c>
      <c r="B309" t="s">
        <v>353</v>
      </c>
      <c r="C309">
        <v>95126</v>
      </c>
      <c r="D309" t="str">
        <f>"264-26-030"</f>
        <v>264-26-030</v>
      </c>
      <c r="E309" t="s">
        <v>23</v>
      </c>
      <c r="F309" t="s">
        <v>56</v>
      </c>
      <c r="G309">
        <v>0</v>
      </c>
      <c r="H309">
        <v>800</v>
      </c>
      <c r="I309" s="1">
        <v>6.3768844986776305E-2</v>
      </c>
      <c r="J309" s="24" t="s">
        <v>12</v>
      </c>
      <c r="K309" t="s">
        <v>484</v>
      </c>
      <c r="L309" t="s">
        <v>485</v>
      </c>
      <c r="M309" t="s">
        <v>486</v>
      </c>
      <c r="P309">
        <f>S309</f>
        <v>10</v>
      </c>
      <c r="R309" t="s">
        <v>25</v>
      </c>
      <c r="S309">
        <v>10</v>
      </c>
    </row>
    <row r="310" spans="1:20" x14ac:dyDescent="0.25">
      <c r="A310">
        <v>308</v>
      </c>
      <c r="B310" t="s">
        <v>354</v>
      </c>
      <c r="C310">
        <v>95110</v>
      </c>
      <c r="D310" t="str">
        <f>"264-26-031"</f>
        <v>264-26-031</v>
      </c>
      <c r="E310" t="s">
        <v>23</v>
      </c>
      <c r="F310" t="s">
        <v>56</v>
      </c>
      <c r="G310">
        <v>0</v>
      </c>
      <c r="H310">
        <v>800</v>
      </c>
      <c r="I310" s="1">
        <v>8.5195715321776805E-2</v>
      </c>
      <c r="J310" s="24" t="s">
        <v>12</v>
      </c>
      <c r="K310" t="s">
        <v>484</v>
      </c>
      <c r="L310" t="s">
        <v>485</v>
      </c>
      <c r="M310" t="s">
        <v>486</v>
      </c>
      <c r="P310">
        <f>S310</f>
        <v>33</v>
      </c>
      <c r="R310" t="s">
        <v>25</v>
      </c>
      <c r="S310">
        <v>33</v>
      </c>
    </row>
    <row r="311" spans="1:20" x14ac:dyDescent="0.25">
      <c r="A311">
        <v>309</v>
      </c>
      <c r="B311" t="s">
        <v>355</v>
      </c>
      <c r="C311">
        <v>95110</v>
      </c>
      <c r="D311" t="str">
        <f>"264-26-034"</f>
        <v>264-26-034</v>
      </c>
      <c r="E311" t="s">
        <v>23</v>
      </c>
      <c r="F311" t="s">
        <v>56</v>
      </c>
      <c r="G311">
        <v>0</v>
      </c>
      <c r="H311">
        <v>800</v>
      </c>
      <c r="I311" s="1">
        <v>0.32556284203874503</v>
      </c>
      <c r="J311" s="24" t="s">
        <v>12</v>
      </c>
      <c r="K311" t="s">
        <v>484</v>
      </c>
      <c r="L311" t="s">
        <v>485</v>
      </c>
      <c r="M311" t="s">
        <v>486</v>
      </c>
      <c r="P311">
        <f>S311</f>
        <v>125</v>
      </c>
      <c r="R311" t="s">
        <v>25</v>
      </c>
      <c r="S311">
        <v>125</v>
      </c>
    </row>
    <row r="312" spans="1:20" x14ac:dyDescent="0.25">
      <c r="A312">
        <v>310</v>
      </c>
      <c r="B312" t="s">
        <v>356</v>
      </c>
      <c r="C312">
        <v>95110</v>
      </c>
      <c r="D312" t="str">
        <f>"264-26-035"</f>
        <v>264-26-035</v>
      </c>
      <c r="E312" t="s">
        <v>23</v>
      </c>
      <c r="F312" t="s">
        <v>56</v>
      </c>
      <c r="G312">
        <v>0</v>
      </c>
      <c r="H312">
        <v>800</v>
      </c>
      <c r="I312" s="1">
        <v>0.11983796777632499</v>
      </c>
      <c r="J312" s="24" t="s">
        <v>8</v>
      </c>
      <c r="K312" t="s">
        <v>484</v>
      </c>
      <c r="L312" t="s">
        <v>485</v>
      </c>
      <c r="M312" t="s">
        <v>486</v>
      </c>
      <c r="P312">
        <f>S312</f>
        <v>45</v>
      </c>
      <c r="R312" t="s">
        <v>25</v>
      </c>
      <c r="S312">
        <v>45</v>
      </c>
    </row>
    <row r="313" spans="1:20" x14ac:dyDescent="0.25">
      <c r="A313">
        <v>311</v>
      </c>
      <c r="B313" t="s">
        <v>357</v>
      </c>
      <c r="C313">
        <v>95110</v>
      </c>
      <c r="D313" t="str">
        <f>"264-26-036"</f>
        <v>264-26-036</v>
      </c>
      <c r="E313" t="s">
        <v>23</v>
      </c>
      <c r="F313" t="s">
        <v>56</v>
      </c>
      <c r="G313">
        <v>0</v>
      </c>
      <c r="H313">
        <v>800</v>
      </c>
      <c r="I313" s="1">
        <v>0.150721963137534</v>
      </c>
      <c r="J313" s="24" t="s">
        <v>8</v>
      </c>
      <c r="K313" t="s">
        <v>484</v>
      </c>
      <c r="L313" t="s">
        <v>485</v>
      </c>
      <c r="M313" t="s">
        <v>486</v>
      </c>
      <c r="P313">
        <f>S313</f>
        <v>57</v>
      </c>
      <c r="R313" t="s">
        <v>25</v>
      </c>
      <c r="S313">
        <v>57</v>
      </c>
    </row>
    <row r="314" spans="1:20" x14ac:dyDescent="0.25">
      <c r="A314">
        <v>312</v>
      </c>
      <c r="B314" t="s">
        <v>358</v>
      </c>
      <c r="C314">
        <v>95110</v>
      </c>
      <c r="D314" t="str">
        <f>"264-26-037"</f>
        <v>264-26-037</v>
      </c>
      <c r="E314" t="s">
        <v>23</v>
      </c>
      <c r="F314" t="s">
        <v>56</v>
      </c>
      <c r="G314">
        <v>0</v>
      </c>
      <c r="H314">
        <v>350</v>
      </c>
      <c r="I314" s="1">
        <v>5.3694065258644098E-2</v>
      </c>
      <c r="J314" s="24" t="s">
        <v>8</v>
      </c>
      <c r="K314" t="s">
        <v>484</v>
      </c>
      <c r="L314" t="s">
        <v>485</v>
      </c>
      <c r="M314" t="s">
        <v>486</v>
      </c>
      <c r="P314">
        <f>S314</f>
        <v>9</v>
      </c>
      <c r="R314" t="s">
        <v>25</v>
      </c>
      <c r="S314">
        <v>9</v>
      </c>
    </row>
    <row r="315" spans="1:20" x14ac:dyDescent="0.25">
      <c r="A315">
        <v>313</v>
      </c>
      <c r="B315" t="s">
        <v>359</v>
      </c>
      <c r="C315">
        <v>95110</v>
      </c>
      <c r="D315" t="str">
        <f>"264-26-094"</f>
        <v>264-26-094</v>
      </c>
      <c r="E315" t="s">
        <v>23</v>
      </c>
      <c r="F315" t="s">
        <v>56</v>
      </c>
      <c r="G315">
        <v>0</v>
      </c>
      <c r="H315">
        <v>800</v>
      </c>
      <c r="I315" s="1">
        <v>0.24490367670358501</v>
      </c>
      <c r="J315" s="24" t="s">
        <v>12</v>
      </c>
      <c r="K315" t="s">
        <v>484</v>
      </c>
      <c r="L315" t="s">
        <v>485</v>
      </c>
      <c r="M315" t="s">
        <v>486</v>
      </c>
      <c r="P315">
        <f>S315</f>
        <v>104</v>
      </c>
      <c r="R315" t="s">
        <v>25</v>
      </c>
      <c r="S315">
        <v>104</v>
      </c>
    </row>
    <row r="316" spans="1:20" x14ac:dyDescent="0.25">
      <c r="A316">
        <v>314</v>
      </c>
      <c r="B316" t="s">
        <v>360</v>
      </c>
      <c r="C316">
        <v>95126</v>
      </c>
      <c r="D316" t="str">
        <f>"264-26-001"</f>
        <v>264-26-001</v>
      </c>
      <c r="E316" t="s">
        <v>23</v>
      </c>
      <c r="F316" t="s">
        <v>56</v>
      </c>
      <c r="G316">
        <v>0</v>
      </c>
      <c r="H316">
        <v>800</v>
      </c>
      <c r="I316" s="1">
        <v>0.15556585357351399</v>
      </c>
      <c r="J316" s="24" t="s">
        <v>12</v>
      </c>
      <c r="K316" t="s">
        <v>484</v>
      </c>
      <c r="L316" t="s">
        <v>485</v>
      </c>
      <c r="M316" t="s">
        <v>486</v>
      </c>
      <c r="P316">
        <f>S316</f>
        <v>57</v>
      </c>
      <c r="R316" t="s">
        <v>25</v>
      </c>
      <c r="S316">
        <v>57</v>
      </c>
    </row>
    <row r="317" spans="1:20" x14ac:dyDescent="0.25">
      <c r="A317">
        <v>315</v>
      </c>
      <c r="B317" t="s">
        <v>361</v>
      </c>
      <c r="C317">
        <v>95126</v>
      </c>
      <c r="D317" t="str">
        <f>"264-26-002"</f>
        <v>264-26-002</v>
      </c>
      <c r="E317" t="s">
        <v>23</v>
      </c>
      <c r="F317" t="s">
        <v>56</v>
      </c>
      <c r="G317">
        <v>0</v>
      </c>
      <c r="H317">
        <v>800</v>
      </c>
      <c r="I317" s="1">
        <v>0.115432170107841</v>
      </c>
      <c r="J317" s="24" t="s">
        <v>8</v>
      </c>
      <c r="K317" t="s">
        <v>484</v>
      </c>
      <c r="L317" t="s">
        <v>485</v>
      </c>
      <c r="M317" t="s">
        <v>486</v>
      </c>
      <c r="P317">
        <f>S317</f>
        <v>44</v>
      </c>
      <c r="R317" t="s">
        <v>25</v>
      </c>
      <c r="S317">
        <v>44</v>
      </c>
    </row>
    <row r="318" spans="1:20" x14ac:dyDescent="0.25">
      <c r="A318">
        <v>316</v>
      </c>
      <c r="B318" t="s">
        <v>362</v>
      </c>
      <c r="C318">
        <v>95113</v>
      </c>
      <c r="D318" t="str">
        <f>"264-30-081"</f>
        <v>264-30-081</v>
      </c>
      <c r="E318" t="s">
        <v>23</v>
      </c>
      <c r="F318" t="s">
        <v>56</v>
      </c>
      <c r="G318">
        <v>0</v>
      </c>
      <c r="H318">
        <v>800</v>
      </c>
      <c r="I318" s="1">
        <v>0.14554304314368199</v>
      </c>
      <c r="J318" s="24" t="s">
        <v>17</v>
      </c>
      <c r="K318" t="s">
        <v>484</v>
      </c>
      <c r="L318" t="s">
        <v>485</v>
      </c>
      <c r="M318" t="s">
        <v>486</v>
      </c>
      <c r="P318">
        <f>S318</f>
        <v>60</v>
      </c>
      <c r="R318" t="s">
        <v>25</v>
      </c>
      <c r="S318">
        <v>60</v>
      </c>
    </row>
    <row r="319" spans="1:20" x14ac:dyDescent="0.25">
      <c r="A319">
        <v>317</v>
      </c>
      <c r="B319" t="s">
        <v>363</v>
      </c>
      <c r="C319">
        <v>95113</v>
      </c>
      <c r="D319" t="str">
        <f>"264-30-082"</f>
        <v>264-30-082</v>
      </c>
      <c r="E319" t="s">
        <v>23</v>
      </c>
      <c r="F319" t="s">
        <v>56</v>
      </c>
      <c r="G319">
        <v>0</v>
      </c>
      <c r="H319">
        <v>800</v>
      </c>
      <c r="I319" s="1">
        <v>0.15504012538107301</v>
      </c>
      <c r="J319" s="24" t="s">
        <v>12</v>
      </c>
      <c r="K319" t="s">
        <v>484</v>
      </c>
      <c r="L319" t="s">
        <v>485</v>
      </c>
      <c r="M319" t="s">
        <v>486</v>
      </c>
      <c r="P319">
        <f>S319</f>
        <v>63</v>
      </c>
      <c r="R319" t="s">
        <v>25</v>
      </c>
      <c r="S319">
        <v>63</v>
      </c>
    </row>
    <row r="320" spans="1:20" x14ac:dyDescent="0.25">
      <c r="A320">
        <v>318</v>
      </c>
      <c r="B320" t="s">
        <v>364</v>
      </c>
      <c r="C320">
        <v>95110</v>
      </c>
      <c r="D320" t="str">
        <f>"264-31-014"</f>
        <v>264-31-014</v>
      </c>
      <c r="E320" t="s">
        <v>23</v>
      </c>
      <c r="F320" t="s">
        <v>365</v>
      </c>
      <c r="G320">
        <v>0</v>
      </c>
      <c r="H320">
        <v>800</v>
      </c>
      <c r="I320" s="1">
        <v>0.14088850363345201</v>
      </c>
      <c r="J320" s="24" t="s">
        <v>17</v>
      </c>
      <c r="K320" t="s">
        <v>484</v>
      </c>
      <c r="L320" t="s">
        <v>485</v>
      </c>
      <c r="M320" t="s">
        <v>486</v>
      </c>
      <c r="P320">
        <f>S320</f>
        <v>58</v>
      </c>
      <c r="R320" t="s">
        <v>25</v>
      </c>
      <c r="S320">
        <v>58</v>
      </c>
    </row>
    <row r="321" spans="1:20" x14ac:dyDescent="0.25">
      <c r="A321">
        <v>319</v>
      </c>
      <c r="B321" t="s">
        <v>366</v>
      </c>
      <c r="C321">
        <v>95110</v>
      </c>
      <c r="D321" t="str">
        <f>"264-31-016"</f>
        <v>264-31-016</v>
      </c>
      <c r="E321" t="s">
        <v>23</v>
      </c>
      <c r="F321" t="s">
        <v>365</v>
      </c>
      <c r="G321">
        <v>0</v>
      </c>
      <c r="H321">
        <v>800</v>
      </c>
      <c r="I321" s="1">
        <v>0.13682508428912199</v>
      </c>
      <c r="J321" s="24" t="s">
        <v>8</v>
      </c>
      <c r="K321" t="s">
        <v>484</v>
      </c>
      <c r="L321" t="s">
        <v>485</v>
      </c>
      <c r="M321" t="s">
        <v>486</v>
      </c>
      <c r="P321">
        <f>S321</f>
        <v>56</v>
      </c>
      <c r="R321" t="s">
        <v>25</v>
      </c>
      <c r="S321">
        <v>56</v>
      </c>
    </row>
    <row r="322" spans="1:20" x14ac:dyDescent="0.25">
      <c r="A322">
        <v>320</v>
      </c>
      <c r="B322" t="s">
        <v>367</v>
      </c>
      <c r="C322">
        <v>95129</v>
      </c>
      <c r="D322" t="str">
        <f>"372-25-C01"</f>
        <v>372-25-C01</v>
      </c>
      <c r="E322" t="s">
        <v>6</v>
      </c>
      <c r="F322" t="s">
        <v>33</v>
      </c>
      <c r="G322">
        <v>0</v>
      </c>
      <c r="H322">
        <v>0</v>
      </c>
      <c r="I322" s="1">
        <v>0.74929451323311702</v>
      </c>
      <c r="J322" s="24" t="s">
        <v>12</v>
      </c>
      <c r="K322" t="s">
        <v>484</v>
      </c>
      <c r="L322" t="s">
        <v>485</v>
      </c>
      <c r="M322" t="s">
        <v>486</v>
      </c>
      <c r="N322" s="2" t="s">
        <v>481</v>
      </c>
      <c r="O322">
        <f>S322</f>
        <v>75</v>
      </c>
      <c r="R322" t="s">
        <v>9</v>
      </c>
      <c r="S322">
        <v>75</v>
      </c>
      <c r="T322" t="s">
        <v>488</v>
      </c>
    </row>
    <row r="323" spans="1:20" x14ac:dyDescent="0.25">
      <c r="A323">
        <v>321</v>
      </c>
      <c r="B323" t="s">
        <v>368</v>
      </c>
      <c r="C323">
        <v>95123</v>
      </c>
      <c r="D323" t="str">
        <f>"695-24-072"</f>
        <v>695-24-072</v>
      </c>
      <c r="E323" t="s">
        <v>6</v>
      </c>
      <c r="F323" t="s">
        <v>33</v>
      </c>
      <c r="G323">
        <v>0</v>
      </c>
      <c r="H323">
        <v>0</v>
      </c>
      <c r="I323" s="1">
        <v>1.4769927733491499</v>
      </c>
      <c r="J323" s="24" t="s">
        <v>12</v>
      </c>
      <c r="K323" t="s">
        <v>484</v>
      </c>
      <c r="L323" t="s">
        <v>485</v>
      </c>
      <c r="M323" t="s">
        <v>486</v>
      </c>
      <c r="N323" s="2" t="s">
        <v>481</v>
      </c>
      <c r="O323">
        <f>S323</f>
        <v>113</v>
      </c>
      <c r="R323" t="s">
        <v>9</v>
      </c>
      <c r="S323">
        <v>113</v>
      </c>
      <c r="T323" t="s">
        <v>488</v>
      </c>
    </row>
    <row r="324" spans="1:20" x14ac:dyDescent="0.25">
      <c r="A324">
        <v>322</v>
      </c>
      <c r="B324" t="s">
        <v>369</v>
      </c>
      <c r="C324">
        <v>95125</v>
      </c>
      <c r="D324" t="str">
        <f>"264-56-109"</f>
        <v>264-56-109</v>
      </c>
      <c r="E324" t="s">
        <v>6</v>
      </c>
      <c r="F324" t="s">
        <v>33</v>
      </c>
      <c r="G324">
        <v>0</v>
      </c>
      <c r="H324">
        <v>0</v>
      </c>
      <c r="I324" s="1">
        <v>0.50732176164239196</v>
      </c>
      <c r="J324" s="24" t="s">
        <v>14</v>
      </c>
      <c r="K324" t="s">
        <v>484</v>
      </c>
      <c r="L324" t="s">
        <v>485</v>
      </c>
      <c r="M324" t="s">
        <v>486</v>
      </c>
      <c r="N324" s="2" t="s">
        <v>481</v>
      </c>
      <c r="O324">
        <f>S324</f>
        <v>48</v>
      </c>
      <c r="R324" t="s">
        <v>9</v>
      </c>
      <c r="S324">
        <v>48</v>
      </c>
    </row>
    <row r="325" spans="1:20" x14ac:dyDescent="0.25">
      <c r="A325">
        <v>323</v>
      </c>
      <c r="B325" t="s">
        <v>370</v>
      </c>
      <c r="C325">
        <v>95125</v>
      </c>
      <c r="D325" t="str">
        <f>"264-56-084"</f>
        <v>264-56-084</v>
      </c>
      <c r="E325" t="s">
        <v>6</v>
      </c>
      <c r="F325" t="s">
        <v>33</v>
      </c>
      <c r="G325">
        <v>0</v>
      </c>
      <c r="H325">
        <v>0</v>
      </c>
      <c r="I325" s="1">
        <v>0.68717863661226597</v>
      </c>
      <c r="J325" s="24" t="s">
        <v>12</v>
      </c>
      <c r="K325" t="s">
        <v>484</v>
      </c>
      <c r="L325" t="s">
        <v>485</v>
      </c>
      <c r="M325" t="s">
        <v>486</v>
      </c>
      <c r="N325" s="2" t="s">
        <v>481</v>
      </c>
      <c r="O325">
        <f>S325</f>
        <v>49</v>
      </c>
      <c r="R325" t="s">
        <v>9</v>
      </c>
      <c r="S325">
        <v>49</v>
      </c>
    </row>
    <row r="326" spans="1:20" x14ac:dyDescent="0.25">
      <c r="A326">
        <v>324</v>
      </c>
      <c r="B326" t="s">
        <v>371</v>
      </c>
      <c r="C326">
        <v>95125</v>
      </c>
      <c r="D326" t="str">
        <f>"264-57-102"</f>
        <v>264-57-102</v>
      </c>
      <c r="E326" t="s">
        <v>6</v>
      </c>
      <c r="F326" t="s">
        <v>33</v>
      </c>
      <c r="G326">
        <v>0</v>
      </c>
      <c r="H326">
        <v>0</v>
      </c>
      <c r="I326" s="1">
        <v>0.72750713913404697</v>
      </c>
      <c r="J326" s="24" t="s">
        <v>12</v>
      </c>
      <c r="K326" t="s">
        <v>484</v>
      </c>
      <c r="L326" t="s">
        <v>485</v>
      </c>
      <c r="M326" t="s">
        <v>486</v>
      </c>
      <c r="N326" s="2" t="s">
        <v>481</v>
      </c>
      <c r="O326">
        <f>S326</f>
        <v>52</v>
      </c>
      <c r="R326" t="s">
        <v>9</v>
      </c>
      <c r="S326">
        <v>52</v>
      </c>
    </row>
    <row r="327" spans="1:20" x14ac:dyDescent="0.25">
      <c r="A327">
        <v>325</v>
      </c>
      <c r="B327" t="s">
        <v>372</v>
      </c>
      <c r="C327">
        <v>95113</v>
      </c>
      <c r="D327" t="str">
        <f>"467-01-011"</f>
        <v>467-01-011</v>
      </c>
      <c r="E327" t="s">
        <v>23</v>
      </c>
      <c r="F327" t="s">
        <v>56</v>
      </c>
      <c r="G327">
        <v>0</v>
      </c>
      <c r="H327">
        <v>800</v>
      </c>
      <c r="I327" s="1">
        <v>0.28748991795516599</v>
      </c>
      <c r="J327" s="24" t="s">
        <v>12</v>
      </c>
      <c r="K327" t="s">
        <v>484</v>
      </c>
      <c r="L327" t="s">
        <v>485</v>
      </c>
      <c r="M327" t="s">
        <v>486</v>
      </c>
      <c r="P327">
        <f>S327</f>
        <v>122</v>
      </c>
      <c r="R327" t="s">
        <v>25</v>
      </c>
      <c r="S327">
        <v>122</v>
      </c>
    </row>
    <row r="328" spans="1:20" x14ac:dyDescent="0.25">
      <c r="A328">
        <v>326</v>
      </c>
      <c r="B328" t="s">
        <v>373</v>
      </c>
      <c r="C328">
        <v>95112</v>
      </c>
      <c r="D328" t="str">
        <f>"467-01-029"</f>
        <v>467-01-029</v>
      </c>
      <c r="E328" t="s">
        <v>23</v>
      </c>
      <c r="F328" t="s">
        <v>56</v>
      </c>
      <c r="G328">
        <v>0</v>
      </c>
      <c r="H328">
        <v>800</v>
      </c>
      <c r="I328" s="1">
        <v>0.32684868340338502</v>
      </c>
      <c r="J328" s="24" t="s">
        <v>17</v>
      </c>
      <c r="K328" t="s">
        <v>484</v>
      </c>
      <c r="L328" t="s">
        <v>485</v>
      </c>
      <c r="M328" t="s">
        <v>486</v>
      </c>
      <c r="P328">
        <f>S328</f>
        <v>134</v>
      </c>
      <c r="R328" t="s">
        <v>25</v>
      </c>
      <c r="S328">
        <v>134</v>
      </c>
    </row>
    <row r="329" spans="1:20" x14ac:dyDescent="0.25">
      <c r="A329">
        <v>327</v>
      </c>
      <c r="B329" t="s">
        <v>374</v>
      </c>
      <c r="C329">
        <v>95112</v>
      </c>
      <c r="D329" t="str">
        <f>"467-01-034"</f>
        <v>467-01-034</v>
      </c>
      <c r="E329" t="s">
        <v>23</v>
      </c>
      <c r="F329" t="s">
        <v>56</v>
      </c>
      <c r="G329">
        <v>0</v>
      </c>
      <c r="H329">
        <v>800</v>
      </c>
      <c r="I329" s="1">
        <v>7.56182122636848E-2</v>
      </c>
      <c r="J329" s="24" t="s">
        <v>17</v>
      </c>
      <c r="K329" t="s">
        <v>484</v>
      </c>
      <c r="L329" t="s">
        <v>485</v>
      </c>
      <c r="M329" t="s">
        <v>486</v>
      </c>
      <c r="P329">
        <f>S329</f>
        <v>16</v>
      </c>
      <c r="R329" t="s">
        <v>25</v>
      </c>
      <c r="S329">
        <v>16</v>
      </c>
    </row>
    <row r="330" spans="1:20" x14ac:dyDescent="0.25">
      <c r="A330">
        <v>328</v>
      </c>
      <c r="B330" t="s">
        <v>375</v>
      </c>
      <c r="C330">
        <v>95112</v>
      </c>
      <c r="D330" t="str">
        <f>"467-01-035"</f>
        <v>467-01-035</v>
      </c>
      <c r="E330" t="s">
        <v>23</v>
      </c>
      <c r="F330" t="s">
        <v>56</v>
      </c>
      <c r="G330">
        <v>0</v>
      </c>
      <c r="H330">
        <v>800</v>
      </c>
      <c r="I330" s="1">
        <v>0.103111144268655</v>
      </c>
      <c r="J330" s="24" t="s">
        <v>17</v>
      </c>
      <c r="K330" t="s">
        <v>484</v>
      </c>
      <c r="L330" t="s">
        <v>485</v>
      </c>
      <c r="M330" t="s">
        <v>486</v>
      </c>
      <c r="P330">
        <f>S330</f>
        <v>20</v>
      </c>
      <c r="R330" t="s">
        <v>25</v>
      </c>
      <c r="S330">
        <v>20</v>
      </c>
    </row>
    <row r="331" spans="1:20" x14ac:dyDescent="0.25">
      <c r="A331">
        <v>329</v>
      </c>
      <c r="B331" t="s">
        <v>376</v>
      </c>
      <c r="C331">
        <v>95112</v>
      </c>
      <c r="D331" t="str">
        <f>"467-01-036"</f>
        <v>467-01-036</v>
      </c>
      <c r="E331" t="s">
        <v>23</v>
      </c>
      <c r="F331" t="s">
        <v>56</v>
      </c>
      <c r="G331">
        <v>0</v>
      </c>
      <c r="H331">
        <v>800</v>
      </c>
      <c r="I331" s="1">
        <v>0.113057558780342</v>
      </c>
      <c r="J331" s="24" t="s">
        <v>17</v>
      </c>
      <c r="K331" t="s">
        <v>484</v>
      </c>
      <c r="L331" t="s">
        <v>485</v>
      </c>
      <c r="M331" t="s">
        <v>486</v>
      </c>
      <c r="P331">
        <f>S331</f>
        <v>44</v>
      </c>
      <c r="R331" t="s">
        <v>25</v>
      </c>
      <c r="S331">
        <v>44</v>
      </c>
    </row>
    <row r="332" spans="1:20" x14ac:dyDescent="0.25">
      <c r="A332">
        <v>330</v>
      </c>
      <c r="B332" t="s">
        <v>377</v>
      </c>
      <c r="C332">
        <v>95112</v>
      </c>
      <c r="D332" t="str">
        <f>"467-01-120"</f>
        <v>467-01-120</v>
      </c>
      <c r="E332" t="s">
        <v>42</v>
      </c>
      <c r="F332" t="s">
        <v>42</v>
      </c>
      <c r="G332">
        <v>0</v>
      </c>
      <c r="H332">
        <v>30</v>
      </c>
      <c r="I332" s="1">
        <v>0.43208380233476301</v>
      </c>
      <c r="J332" s="24" t="s">
        <v>17</v>
      </c>
      <c r="K332" t="s">
        <v>484</v>
      </c>
      <c r="L332" t="s">
        <v>485</v>
      </c>
      <c r="M332" t="s">
        <v>486</v>
      </c>
      <c r="P332">
        <f>S332</f>
        <v>13</v>
      </c>
      <c r="R332" t="s">
        <v>25</v>
      </c>
      <c r="S332">
        <v>13</v>
      </c>
    </row>
    <row r="333" spans="1:20" x14ac:dyDescent="0.25">
      <c r="A333">
        <v>331</v>
      </c>
      <c r="B333" t="s">
        <v>378</v>
      </c>
      <c r="C333">
        <v>95116</v>
      </c>
      <c r="D333" t="str">
        <f>"467-08-010"</f>
        <v>467-08-010</v>
      </c>
      <c r="E333" t="s">
        <v>11</v>
      </c>
      <c r="F333" t="s">
        <v>11</v>
      </c>
      <c r="G333">
        <v>0</v>
      </c>
      <c r="H333">
        <v>250</v>
      </c>
      <c r="I333" s="1">
        <v>2.6133816742699301</v>
      </c>
      <c r="J333" s="24" t="s">
        <v>379</v>
      </c>
      <c r="K333" t="s">
        <v>484</v>
      </c>
      <c r="L333" t="s">
        <v>485</v>
      </c>
      <c r="M333" t="s">
        <v>486</v>
      </c>
      <c r="P333">
        <f>S333</f>
        <v>201</v>
      </c>
      <c r="R333" t="s">
        <v>25</v>
      </c>
      <c r="S333">
        <v>201</v>
      </c>
    </row>
    <row r="334" spans="1:20" x14ac:dyDescent="0.25">
      <c r="A334">
        <v>332</v>
      </c>
      <c r="B334" t="s">
        <v>380</v>
      </c>
      <c r="C334">
        <v>95116</v>
      </c>
      <c r="D334" t="str">
        <f>"467-08-011"</f>
        <v>467-08-011</v>
      </c>
      <c r="E334" t="s">
        <v>11</v>
      </c>
      <c r="F334" t="s">
        <v>11</v>
      </c>
      <c r="G334">
        <v>0</v>
      </c>
      <c r="H334">
        <v>250</v>
      </c>
      <c r="I334" s="1">
        <v>2.5307191714184798</v>
      </c>
      <c r="J334" s="24" t="s">
        <v>379</v>
      </c>
      <c r="K334" t="s">
        <v>484</v>
      </c>
      <c r="L334" t="s">
        <v>485</v>
      </c>
      <c r="M334" t="s">
        <v>486</v>
      </c>
      <c r="P334">
        <f>S334</f>
        <v>195</v>
      </c>
      <c r="R334" t="s">
        <v>25</v>
      </c>
      <c r="S334">
        <v>195</v>
      </c>
    </row>
    <row r="335" spans="1:20" x14ac:dyDescent="0.25">
      <c r="A335">
        <v>333</v>
      </c>
      <c r="B335" t="s">
        <v>381</v>
      </c>
      <c r="C335">
        <v>95116</v>
      </c>
      <c r="D335" t="str">
        <f>"467-11-037"</f>
        <v>467-11-037</v>
      </c>
      <c r="E335" t="s">
        <v>11</v>
      </c>
      <c r="F335" t="s">
        <v>11</v>
      </c>
      <c r="G335">
        <v>0</v>
      </c>
      <c r="H335">
        <v>0</v>
      </c>
      <c r="I335" s="1">
        <v>0.612994454414861</v>
      </c>
      <c r="J335" s="24" t="s">
        <v>14</v>
      </c>
      <c r="K335" t="s">
        <v>484</v>
      </c>
      <c r="L335" t="s">
        <v>485</v>
      </c>
      <c r="M335" t="s">
        <v>486</v>
      </c>
      <c r="P335">
        <f>S335</f>
        <v>90</v>
      </c>
      <c r="R335" t="s">
        <v>25</v>
      </c>
      <c r="S335">
        <v>90</v>
      </c>
    </row>
    <row r="336" spans="1:20" x14ac:dyDescent="0.25">
      <c r="A336">
        <v>334</v>
      </c>
      <c r="B336" t="s">
        <v>382</v>
      </c>
      <c r="C336">
        <v>95116</v>
      </c>
      <c r="D336" t="str">
        <f>"467-11-025"</f>
        <v>467-11-025</v>
      </c>
      <c r="E336" t="s">
        <v>11</v>
      </c>
      <c r="F336" t="s">
        <v>11</v>
      </c>
      <c r="G336">
        <v>0</v>
      </c>
      <c r="H336">
        <v>0</v>
      </c>
      <c r="I336" s="1">
        <v>2.3037767990239599</v>
      </c>
      <c r="J336" s="24" t="s">
        <v>14</v>
      </c>
      <c r="K336" t="s">
        <v>484</v>
      </c>
      <c r="L336" t="s">
        <v>485</v>
      </c>
      <c r="M336" t="s">
        <v>486</v>
      </c>
      <c r="P336">
        <f>S336</f>
        <v>338</v>
      </c>
      <c r="R336" t="s">
        <v>25</v>
      </c>
      <c r="S336">
        <v>338</v>
      </c>
    </row>
    <row r="337" spans="1:20" x14ac:dyDescent="0.25">
      <c r="A337">
        <v>335</v>
      </c>
      <c r="B337" t="s">
        <v>383</v>
      </c>
      <c r="C337">
        <v>95116</v>
      </c>
      <c r="D337" t="str">
        <f>"467-11-028"</f>
        <v>467-11-028</v>
      </c>
      <c r="E337" t="s">
        <v>11</v>
      </c>
      <c r="F337" t="s">
        <v>11</v>
      </c>
      <c r="G337">
        <v>0</v>
      </c>
      <c r="H337">
        <v>0</v>
      </c>
      <c r="I337" s="1">
        <v>0.511364720158896</v>
      </c>
      <c r="J337" s="24" t="s">
        <v>8</v>
      </c>
      <c r="K337" t="s">
        <v>484</v>
      </c>
      <c r="L337" t="s">
        <v>485</v>
      </c>
      <c r="M337" t="s">
        <v>486</v>
      </c>
      <c r="N337" s="2" t="s">
        <v>481</v>
      </c>
      <c r="O337">
        <f>S337</f>
        <v>68</v>
      </c>
      <c r="R337" t="s">
        <v>9</v>
      </c>
      <c r="S337">
        <v>68</v>
      </c>
    </row>
    <row r="338" spans="1:20" x14ac:dyDescent="0.25">
      <c r="A338">
        <v>336</v>
      </c>
      <c r="B338" t="s">
        <v>384</v>
      </c>
      <c r="C338">
        <v>95116</v>
      </c>
      <c r="D338" t="str">
        <f>"467-11-038"</f>
        <v>467-11-038</v>
      </c>
      <c r="E338" t="s">
        <v>11</v>
      </c>
      <c r="F338" t="s">
        <v>11</v>
      </c>
      <c r="G338">
        <v>0</v>
      </c>
      <c r="H338">
        <v>0</v>
      </c>
      <c r="I338" s="1">
        <v>0.64239360498029197</v>
      </c>
      <c r="J338" s="24" t="s">
        <v>12</v>
      </c>
      <c r="K338" t="s">
        <v>484</v>
      </c>
      <c r="L338" t="s">
        <v>485</v>
      </c>
      <c r="M338" t="s">
        <v>486</v>
      </c>
      <c r="P338">
        <f>S338</f>
        <v>107</v>
      </c>
      <c r="R338" t="s">
        <v>25</v>
      </c>
      <c r="S338">
        <v>107</v>
      </c>
    </row>
    <row r="339" spans="1:20" x14ac:dyDescent="0.25">
      <c r="A339">
        <v>337</v>
      </c>
      <c r="B339" t="s">
        <v>385</v>
      </c>
      <c r="C339">
        <v>95112</v>
      </c>
      <c r="D339" t="str">
        <f>"467-20-019"</f>
        <v>467-20-019</v>
      </c>
      <c r="E339" t="s">
        <v>23</v>
      </c>
      <c r="F339" t="s">
        <v>56</v>
      </c>
      <c r="G339">
        <v>0</v>
      </c>
      <c r="H339">
        <v>800</v>
      </c>
      <c r="I339" s="1">
        <v>0.12827276815814401</v>
      </c>
      <c r="J339" s="24" t="s">
        <v>17</v>
      </c>
      <c r="K339" t="s">
        <v>484</v>
      </c>
      <c r="L339" t="s">
        <v>485</v>
      </c>
      <c r="M339" t="s">
        <v>486</v>
      </c>
      <c r="P339">
        <f>S339</f>
        <v>52</v>
      </c>
      <c r="R339" t="s">
        <v>25</v>
      </c>
      <c r="S339">
        <v>52</v>
      </c>
    </row>
    <row r="340" spans="1:20" x14ac:dyDescent="0.25">
      <c r="A340">
        <v>338</v>
      </c>
      <c r="B340" t="s">
        <v>386</v>
      </c>
      <c r="C340">
        <v>95112</v>
      </c>
      <c r="D340" t="str">
        <f>"467-20-020"</f>
        <v>467-20-020</v>
      </c>
      <c r="E340" t="s">
        <v>23</v>
      </c>
      <c r="F340" t="s">
        <v>56</v>
      </c>
      <c r="G340">
        <v>0</v>
      </c>
      <c r="H340">
        <v>800</v>
      </c>
      <c r="I340" s="1">
        <v>0.48539770728862702</v>
      </c>
      <c r="J340" s="24" t="s">
        <v>17</v>
      </c>
      <c r="K340" t="s">
        <v>484</v>
      </c>
      <c r="L340" t="s">
        <v>485</v>
      </c>
      <c r="M340" t="s">
        <v>486</v>
      </c>
      <c r="P340">
        <f>S340</f>
        <v>178</v>
      </c>
      <c r="R340" t="s">
        <v>25</v>
      </c>
      <c r="S340">
        <v>178</v>
      </c>
    </row>
    <row r="341" spans="1:20" x14ac:dyDescent="0.25">
      <c r="A341">
        <v>339</v>
      </c>
      <c r="B341" t="s">
        <v>387</v>
      </c>
      <c r="C341">
        <v>95112</v>
      </c>
      <c r="D341" t="str">
        <f>"467-20-021"</f>
        <v>467-20-021</v>
      </c>
      <c r="E341" t="s">
        <v>23</v>
      </c>
      <c r="F341" t="s">
        <v>56</v>
      </c>
      <c r="G341">
        <v>0</v>
      </c>
      <c r="H341">
        <v>800</v>
      </c>
      <c r="I341" s="1">
        <v>6.0443702497530699E-2</v>
      </c>
      <c r="J341" s="24" t="s">
        <v>17</v>
      </c>
      <c r="K341" t="s">
        <v>484</v>
      </c>
      <c r="L341" t="s">
        <v>485</v>
      </c>
      <c r="M341" t="s">
        <v>486</v>
      </c>
      <c r="P341">
        <f>S341</f>
        <v>24</v>
      </c>
      <c r="R341" t="s">
        <v>25</v>
      </c>
      <c r="S341">
        <v>24</v>
      </c>
    </row>
    <row r="342" spans="1:20" x14ac:dyDescent="0.25">
      <c r="A342">
        <v>340</v>
      </c>
      <c r="B342" t="s">
        <v>388</v>
      </c>
      <c r="C342">
        <v>95112</v>
      </c>
      <c r="D342" t="str">
        <f>"467-20-069"</f>
        <v>467-20-069</v>
      </c>
      <c r="E342" t="s">
        <v>23</v>
      </c>
      <c r="F342" t="s">
        <v>56</v>
      </c>
      <c r="G342">
        <v>0</v>
      </c>
      <c r="H342">
        <v>800</v>
      </c>
      <c r="I342" s="1">
        <v>0.13407508416488301</v>
      </c>
      <c r="J342" s="24" t="s">
        <v>237</v>
      </c>
      <c r="K342" t="s">
        <v>484</v>
      </c>
      <c r="L342" t="s">
        <v>485</v>
      </c>
      <c r="M342" t="s">
        <v>486</v>
      </c>
      <c r="P342">
        <f>S342</f>
        <v>55</v>
      </c>
      <c r="R342" t="s">
        <v>25</v>
      </c>
      <c r="S342">
        <v>55</v>
      </c>
    </row>
    <row r="343" spans="1:20" x14ac:dyDescent="0.25">
      <c r="A343">
        <v>341</v>
      </c>
      <c r="B343" t="s">
        <v>389</v>
      </c>
      <c r="C343">
        <v>95112</v>
      </c>
      <c r="D343" t="str">
        <f>"467-20-059"</f>
        <v>467-20-059</v>
      </c>
      <c r="E343" t="s">
        <v>23</v>
      </c>
      <c r="F343" t="s">
        <v>56</v>
      </c>
      <c r="G343">
        <v>0</v>
      </c>
      <c r="H343">
        <v>800</v>
      </c>
      <c r="I343" s="1">
        <v>0.16432130670821199</v>
      </c>
      <c r="J343" s="24" t="s">
        <v>12</v>
      </c>
      <c r="K343" t="s">
        <v>484</v>
      </c>
      <c r="L343" t="s">
        <v>485</v>
      </c>
      <c r="M343" t="s">
        <v>486</v>
      </c>
      <c r="P343">
        <f>S343</f>
        <v>29</v>
      </c>
      <c r="R343" t="s">
        <v>25</v>
      </c>
      <c r="S343">
        <v>29</v>
      </c>
    </row>
    <row r="344" spans="1:20" x14ac:dyDescent="0.25">
      <c r="A344">
        <v>342</v>
      </c>
      <c r="B344" t="s">
        <v>390</v>
      </c>
      <c r="C344">
        <v>95112</v>
      </c>
      <c r="D344" t="str">
        <f>"467-20-041"</f>
        <v>467-20-041</v>
      </c>
      <c r="E344" t="s">
        <v>23</v>
      </c>
      <c r="F344" t="s">
        <v>56</v>
      </c>
      <c r="G344">
        <v>0</v>
      </c>
      <c r="H344">
        <v>800</v>
      </c>
      <c r="I344" s="1">
        <v>0.43512188186803002</v>
      </c>
      <c r="J344" s="24" t="s">
        <v>12</v>
      </c>
      <c r="K344" t="s">
        <v>484</v>
      </c>
      <c r="L344" t="s">
        <v>485</v>
      </c>
      <c r="M344" t="s">
        <v>486</v>
      </c>
      <c r="P344">
        <f>S344</f>
        <v>167</v>
      </c>
      <c r="R344" t="s">
        <v>25</v>
      </c>
      <c r="S344">
        <v>167</v>
      </c>
    </row>
    <row r="345" spans="1:20" x14ac:dyDescent="0.25">
      <c r="A345">
        <v>343</v>
      </c>
      <c r="B345" t="s">
        <v>391</v>
      </c>
      <c r="C345">
        <v>95113</v>
      </c>
      <c r="D345" t="str">
        <f>"467-22-142"</f>
        <v>467-22-142</v>
      </c>
      <c r="E345" t="s">
        <v>23</v>
      </c>
      <c r="F345" t="s">
        <v>56</v>
      </c>
      <c r="G345">
        <v>0</v>
      </c>
      <c r="H345">
        <v>800</v>
      </c>
      <c r="I345" s="1">
        <v>0.99900674987528404</v>
      </c>
      <c r="J345" s="24" t="s">
        <v>17</v>
      </c>
      <c r="K345" t="s">
        <v>484</v>
      </c>
      <c r="L345" t="s">
        <v>485</v>
      </c>
      <c r="M345" t="s">
        <v>486</v>
      </c>
      <c r="P345">
        <f>S345</f>
        <v>159</v>
      </c>
      <c r="R345" t="s">
        <v>25</v>
      </c>
      <c r="S345">
        <v>159</v>
      </c>
    </row>
    <row r="346" spans="1:20" x14ac:dyDescent="0.25">
      <c r="A346">
        <v>344</v>
      </c>
      <c r="B346" t="s">
        <v>392</v>
      </c>
      <c r="C346">
        <v>95112</v>
      </c>
      <c r="D346" t="str">
        <f>"467-24-113"</f>
        <v>467-24-113</v>
      </c>
      <c r="E346" t="s">
        <v>11</v>
      </c>
      <c r="F346" t="s">
        <v>11</v>
      </c>
      <c r="G346">
        <v>55</v>
      </c>
      <c r="H346">
        <v>175</v>
      </c>
      <c r="I346" s="1">
        <v>0.53445593004872805</v>
      </c>
      <c r="J346" s="24" t="s">
        <v>43</v>
      </c>
      <c r="K346" t="s">
        <v>484</v>
      </c>
      <c r="L346" t="s">
        <v>485</v>
      </c>
      <c r="M346" t="s">
        <v>486</v>
      </c>
      <c r="P346">
        <f>S346</f>
        <v>80</v>
      </c>
      <c r="R346" t="s">
        <v>25</v>
      </c>
      <c r="S346">
        <v>80</v>
      </c>
    </row>
    <row r="347" spans="1:20" x14ac:dyDescent="0.25">
      <c r="A347">
        <v>345</v>
      </c>
      <c r="B347" t="s">
        <v>393</v>
      </c>
      <c r="C347">
        <v>95133</v>
      </c>
      <c r="D347" t="str">
        <f>"254-29-018"</f>
        <v>254-29-018</v>
      </c>
      <c r="E347" t="s">
        <v>6</v>
      </c>
      <c r="F347" t="s">
        <v>33</v>
      </c>
      <c r="G347">
        <v>0</v>
      </c>
      <c r="H347">
        <v>0</v>
      </c>
      <c r="I347" s="1">
        <v>0.92710175834083997</v>
      </c>
      <c r="J347" s="24" t="s">
        <v>12</v>
      </c>
      <c r="K347" t="s">
        <v>484</v>
      </c>
      <c r="L347" t="s">
        <v>485</v>
      </c>
      <c r="M347" t="s">
        <v>486</v>
      </c>
      <c r="N347" s="2" t="s">
        <v>481</v>
      </c>
      <c r="O347">
        <f>S347</f>
        <v>93</v>
      </c>
      <c r="R347" t="s">
        <v>9</v>
      </c>
      <c r="S347">
        <v>93</v>
      </c>
      <c r="T347" t="s">
        <v>488</v>
      </c>
    </row>
    <row r="348" spans="1:20" x14ac:dyDescent="0.25">
      <c r="A348">
        <v>346</v>
      </c>
      <c r="B348" t="s">
        <v>394</v>
      </c>
      <c r="C348">
        <v>95132</v>
      </c>
      <c r="D348" t="str">
        <f>"092-06-031"</f>
        <v>092-06-031</v>
      </c>
      <c r="E348" t="s">
        <v>37</v>
      </c>
      <c r="F348" t="s">
        <v>37</v>
      </c>
      <c r="G348">
        <v>0</v>
      </c>
      <c r="H348">
        <v>50</v>
      </c>
      <c r="I348" s="1">
        <v>0.84023354896628</v>
      </c>
      <c r="J348" s="24" t="s">
        <v>158</v>
      </c>
      <c r="K348" t="s">
        <v>484</v>
      </c>
      <c r="L348" t="s">
        <v>485</v>
      </c>
      <c r="M348" t="s">
        <v>486</v>
      </c>
      <c r="N348" s="2" t="s">
        <v>481</v>
      </c>
      <c r="O348">
        <f>S348</f>
        <v>65</v>
      </c>
      <c r="R348" t="s">
        <v>9</v>
      </c>
      <c r="S348">
        <v>65</v>
      </c>
      <c r="T348" s="3" t="s">
        <v>487</v>
      </c>
    </row>
    <row r="349" spans="1:20" x14ac:dyDescent="0.25">
      <c r="A349">
        <v>347</v>
      </c>
      <c r="B349" t="s">
        <v>395</v>
      </c>
      <c r="C349">
        <v>95116</v>
      </c>
      <c r="D349" t="str">
        <f>"467-30-001"</f>
        <v>467-30-001</v>
      </c>
      <c r="E349" t="s">
        <v>11</v>
      </c>
      <c r="F349" t="s">
        <v>11</v>
      </c>
      <c r="G349">
        <v>0</v>
      </c>
      <c r="H349">
        <v>0</v>
      </c>
      <c r="I349" s="1">
        <v>0.68756660144284198</v>
      </c>
      <c r="J349" s="24" t="s">
        <v>17</v>
      </c>
      <c r="K349" t="s">
        <v>484</v>
      </c>
      <c r="L349" t="s">
        <v>485</v>
      </c>
      <c r="M349" t="s">
        <v>486</v>
      </c>
      <c r="P349">
        <f>S349</f>
        <v>121</v>
      </c>
      <c r="R349" t="s">
        <v>25</v>
      </c>
      <c r="S349">
        <v>121</v>
      </c>
    </row>
    <row r="350" spans="1:20" x14ac:dyDescent="0.25">
      <c r="A350">
        <v>348</v>
      </c>
      <c r="B350" t="s">
        <v>396</v>
      </c>
      <c r="C350">
        <v>95116</v>
      </c>
      <c r="D350" t="str">
        <f>"467-30-002"</f>
        <v>467-30-002</v>
      </c>
      <c r="E350" t="s">
        <v>11</v>
      </c>
      <c r="F350" t="s">
        <v>11</v>
      </c>
      <c r="G350">
        <v>0</v>
      </c>
      <c r="H350">
        <v>0</v>
      </c>
      <c r="I350" s="1">
        <v>0.204008741717259</v>
      </c>
      <c r="J350" s="24" t="s">
        <v>17</v>
      </c>
      <c r="K350" t="s">
        <v>484</v>
      </c>
      <c r="L350" t="s">
        <v>485</v>
      </c>
      <c r="M350" t="s">
        <v>486</v>
      </c>
      <c r="P350">
        <f>S350</f>
        <v>33</v>
      </c>
      <c r="R350" t="s">
        <v>25</v>
      </c>
      <c r="S350">
        <v>33</v>
      </c>
    </row>
    <row r="351" spans="1:20" x14ac:dyDescent="0.25">
      <c r="A351">
        <v>349</v>
      </c>
      <c r="B351" t="s">
        <v>397</v>
      </c>
      <c r="C351">
        <v>95112</v>
      </c>
      <c r="D351" t="str">
        <f>"467-45-067"</f>
        <v>467-45-067</v>
      </c>
      <c r="E351" t="s">
        <v>23</v>
      </c>
      <c r="F351" t="s">
        <v>56</v>
      </c>
      <c r="G351">
        <v>0</v>
      </c>
      <c r="H351">
        <v>800</v>
      </c>
      <c r="I351" s="1">
        <v>0.28737927067305902</v>
      </c>
      <c r="J351" s="24" t="s">
        <v>12</v>
      </c>
      <c r="K351" t="s">
        <v>484</v>
      </c>
      <c r="L351" t="s">
        <v>485</v>
      </c>
      <c r="M351" t="s">
        <v>486</v>
      </c>
      <c r="P351">
        <f>S351</f>
        <v>110</v>
      </c>
      <c r="R351" t="s">
        <v>25</v>
      </c>
      <c r="S351">
        <v>110</v>
      </c>
    </row>
    <row r="352" spans="1:20" x14ac:dyDescent="0.25">
      <c r="A352">
        <v>350</v>
      </c>
      <c r="B352" t="s">
        <v>398</v>
      </c>
      <c r="C352">
        <v>95113</v>
      </c>
      <c r="D352" t="str">
        <f>"467-46-014"</f>
        <v>467-46-014</v>
      </c>
      <c r="E352" t="s">
        <v>23</v>
      </c>
      <c r="F352" t="s">
        <v>56</v>
      </c>
      <c r="G352">
        <v>0</v>
      </c>
      <c r="H352">
        <v>800</v>
      </c>
      <c r="I352" s="1">
        <v>0.13388321932866801</v>
      </c>
      <c r="J352" s="24" t="s">
        <v>12</v>
      </c>
      <c r="K352" t="s">
        <v>484</v>
      </c>
      <c r="L352" t="s">
        <v>485</v>
      </c>
      <c r="M352" t="s">
        <v>486</v>
      </c>
      <c r="P352">
        <f>S352</f>
        <v>51</v>
      </c>
      <c r="R352" t="s">
        <v>25</v>
      </c>
      <c r="S352">
        <v>51</v>
      </c>
    </row>
    <row r="353" spans="1:20" x14ac:dyDescent="0.25">
      <c r="A353">
        <v>351</v>
      </c>
      <c r="B353" t="s">
        <v>399</v>
      </c>
      <c r="C353">
        <v>95112</v>
      </c>
      <c r="D353" t="str">
        <f>"467-46-009"</f>
        <v>467-46-009</v>
      </c>
      <c r="E353" t="s">
        <v>23</v>
      </c>
      <c r="F353" t="s">
        <v>56</v>
      </c>
      <c r="G353">
        <v>0</v>
      </c>
      <c r="H353">
        <v>800</v>
      </c>
      <c r="I353" s="1">
        <v>0.18421565154545599</v>
      </c>
      <c r="J353" s="24" t="s">
        <v>12</v>
      </c>
      <c r="K353" t="s">
        <v>484</v>
      </c>
      <c r="L353" t="s">
        <v>485</v>
      </c>
      <c r="M353" t="s">
        <v>486</v>
      </c>
      <c r="P353">
        <f>S353</f>
        <v>71</v>
      </c>
      <c r="R353" t="s">
        <v>25</v>
      </c>
      <c r="S353">
        <v>71</v>
      </c>
    </row>
    <row r="354" spans="1:20" x14ac:dyDescent="0.25">
      <c r="A354">
        <v>352</v>
      </c>
      <c r="B354" t="s">
        <v>400</v>
      </c>
      <c r="C354">
        <v>95112</v>
      </c>
      <c r="D354" t="str">
        <f>"467-46-012"</f>
        <v>467-46-012</v>
      </c>
      <c r="E354" t="s">
        <v>23</v>
      </c>
      <c r="F354" t="s">
        <v>56</v>
      </c>
      <c r="G354">
        <v>0</v>
      </c>
      <c r="H354">
        <v>800</v>
      </c>
      <c r="I354" s="1">
        <v>0.123103828883526</v>
      </c>
      <c r="J354" s="24" t="s">
        <v>17</v>
      </c>
      <c r="K354" t="s">
        <v>484</v>
      </c>
      <c r="L354" t="s">
        <v>485</v>
      </c>
      <c r="M354" t="s">
        <v>486</v>
      </c>
      <c r="P354">
        <f>S354</f>
        <v>24</v>
      </c>
      <c r="R354" t="s">
        <v>25</v>
      </c>
      <c r="S354">
        <v>24</v>
      </c>
    </row>
    <row r="355" spans="1:20" x14ac:dyDescent="0.25">
      <c r="A355">
        <v>353</v>
      </c>
      <c r="B355" t="s">
        <v>401</v>
      </c>
      <c r="C355">
        <v>95113</v>
      </c>
      <c r="D355" t="str">
        <f>"467-46-020"</f>
        <v>467-46-020</v>
      </c>
      <c r="E355" t="s">
        <v>23</v>
      </c>
      <c r="F355" t="s">
        <v>56</v>
      </c>
      <c r="G355">
        <v>0</v>
      </c>
      <c r="H355">
        <v>800</v>
      </c>
      <c r="I355" s="1">
        <v>0.18228350651744499</v>
      </c>
      <c r="J355" s="24" t="s">
        <v>12</v>
      </c>
      <c r="K355" t="s">
        <v>484</v>
      </c>
      <c r="L355" t="s">
        <v>485</v>
      </c>
      <c r="M355" t="s">
        <v>486</v>
      </c>
      <c r="P355">
        <f>S355</f>
        <v>70</v>
      </c>
      <c r="R355" t="s">
        <v>25</v>
      </c>
      <c r="S355">
        <v>70</v>
      </c>
    </row>
    <row r="356" spans="1:20" x14ac:dyDescent="0.25">
      <c r="A356">
        <v>354</v>
      </c>
      <c r="B356" t="s">
        <v>402</v>
      </c>
      <c r="C356">
        <v>95113</v>
      </c>
      <c r="D356" t="str">
        <f>"467-47-034"</f>
        <v>467-47-034</v>
      </c>
      <c r="E356" t="s">
        <v>23</v>
      </c>
      <c r="F356" t="s">
        <v>56</v>
      </c>
      <c r="G356">
        <v>0</v>
      </c>
      <c r="H356">
        <v>800</v>
      </c>
      <c r="I356" s="1">
        <v>0.23556804876495399</v>
      </c>
      <c r="J356" s="24" t="s">
        <v>17</v>
      </c>
      <c r="K356" t="s">
        <v>484</v>
      </c>
      <c r="L356" t="s">
        <v>485</v>
      </c>
      <c r="M356" t="s">
        <v>486</v>
      </c>
      <c r="P356">
        <f>S356</f>
        <v>96</v>
      </c>
      <c r="R356" t="s">
        <v>25</v>
      </c>
      <c r="S356">
        <v>96</v>
      </c>
    </row>
    <row r="357" spans="1:20" x14ac:dyDescent="0.25">
      <c r="A357">
        <v>355</v>
      </c>
      <c r="B357" t="s">
        <v>403</v>
      </c>
      <c r="C357">
        <v>95113</v>
      </c>
      <c r="D357" t="str">
        <f>"467-47-038"</f>
        <v>467-47-038</v>
      </c>
      <c r="E357" t="s">
        <v>23</v>
      </c>
      <c r="F357" t="s">
        <v>56</v>
      </c>
      <c r="G357">
        <v>0</v>
      </c>
      <c r="H357">
        <v>800</v>
      </c>
      <c r="I357" s="1">
        <v>0.21441852020388699</v>
      </c>
      <c r="J357" s="24" t="s">
        <v>12</v>
      </c>
      <c r="K357" t="s">
        <v>484</v>
      </c>
      <c r="L357" t="s">
        <v>485</v>
      </c>
      <c r="M357" t="s">
        <v>486</v>
      </c>
      <c r="P357">
        <f>S357</f>
        <v>38</v>
      </c>
      <c r="R357" t="s">
        <v>25</v>
      </c>
      <c r="S357">
        <v>38</v>
      </c>
    </row>
    <row r="358" spans="1:20" x14ac:dyDescent="0.25">
      <c r="A358">
        <v>356</v>
      </c>
      <c r="B358" t="s">
        <v>404</v>
      </c>
      <c r="C358">
        <v>95112</v>
      </c>
      <c r="D358" t="str">
        <f>"472-16-039"</f>
        <v>472-16-039</v>
      </c>
      <c r="E358" t="s">
        <v>42</v>
      </c>
      <c r="F358" t="s">
        <v>42</v>
      </c>
      <c r="G358">
        <v>0</v>
      </c>
      <c r="H358">
        <v>30</v>
      </c>
      <c r="I358" s="1">
        <v>0.64491503656870497</v>
      </c>
      <c r="J358" s="24" t="s">
        <v>405</v>
      </c>
      <c r="K358" t="s">
        <v>484</v>
      </c>
      <c r="L358" t="s">
        <v>485</v>
      </c>
      <c r="M358" t="s">
        <v>486</v>
      </c>
      <c r="P358">
        <f>S358</f>
        <v>13</v>
      </c>
      <c r="R358" t="s">
        <v>25</v>
      </c>
      <c r="S358">
        <v>13</v>
      </c>
    </row>
    <row r="359" spans="1:20" ht="30" x14ac:dyDescent="0.25">
      <c r="A359">
        <v>357</v>
      </c>
      <c r="B359" t="s">
        <v>406</v>
      </c>
      <c r="C359">
        <v>95112</v>
      </c>
      <c r="D359" t="str">
        <f>"472-18-007"</f>
        <v>472-18-007</v>
      </c>
      <c r="E359" t="s">
        <v>244</v>
      </c>
      <c r="F359" t="s">
        <v>244</v>
      </c>
      <c r="G359">
        <v>50</v>
      </c>
      <c r="H359">
        <v>250</v>
      </c>
      <c r="I359" s="1">
        <v>1.03885709736722</v>
      </c>
      <c r="J359" s="24" t="s">
        <v>65</v>
      </c>
      <c r="K359" t="s">
        <v>484</v>
      </c>
      <c r="L359" t="s">
        <v>485</v>
      </c>
      <c r="M359" t="s">
        <v>486</v>
      </c>
      <c r="P359">
        <f>S359</f>
        <v>111</v>
      </c>
      <c r="R359" t="s">
        <v>25</v>
      </c>
      <c r="S359">
        <v>111</v>
      </c>
    </row>
    <row r="360" spans="1:20" x14ac:dyDescent="0.25">
      <c r="A360">
        <v>358</v>
      </c>
      <c r="B360" t="s">
        <v>407</v>
      </c>
      <c r="C360">
        <v>95112</v>
      </c>
      <c r="D360" t="str">
        <f>"472-26-046"</f>
        <v>472-26-046</v>
      </c>
      <c r="E360" t="s">
        <v>23</v>
      </c>
      <c r="F360" t="s">
        <v>56</v>
      </c>
      <c r="G360">
        <v>0</v>
      </c>
      <c r="H360">
        <v>800</v>
      </c>
      <c r="I360" s="1">
        <v>0.37651335164202498</v>
      </c>
      <c r="J360" s="24" t="s">
        <v>12</v>
      </c>
      <c r="K360" t="s">
        <v>484</v>
      </c>
      <c r="L360" t="s">
        <v>485</v>
      </c>
      <c r="M360" t="s">
        <v>486</v>
      </c>
      <c r="P360">
        <f>S360</f>
        <v>134</v>
      </c>
      <c r="R360" t="s">
        <v>25</v>
      </c>
      <c r="S360">
        <v>134</v>
      </c>
    </row>
    <row r="361" spans="1:20" x14ac:dyDescent="0.25">
      <c r="A361">
        <v>359</v>
      </c>
      <c r="B361" t="s">
        <v>408</v>
      </c>
      <c r="C361">
        <v>95112</v>
      </c>
      <c r="D361" t="str">
        <f>"472-26-085"</f>
        <v>472-26-085</v>
      </c>
      <c r="E361" t="s">
        <v>23</v>
      </c>
      <c r="F361" t="s">
        <v>56</v>
      </c>
      <c r="G361">
        <v>0</v>
      </c>
      <c r="H361">
        <v>800</v>
      </c>
      <c r="I361" s="1">
        <v>0.15030920882649801</v>
      </c>
      <c r="J361" s="24" t="s">
        <v>12</v>
      </c>
      <c r="K361" t="s">
        <v>484</v>
      </c>
      <c r="L361" t="s">
        <v>485</v>
      </c>
      <c r="M361" t="s">
        <v>486</v>
      </c>
      <c r="P361">
        <f>S361</f>
        <v>57</v>
      </c>
      <c r="R361" t="s">
        <v>25</v>
      </c>
      <c r="S361">
        <v>57</v>
      </c>
    </row>
    <row r="362" spans="1:20" x14ac:dyDescent="0.25">
      <c r="A362">
        <v>360</v>
      </c>
      <c r="B362" t="s">
        <v>409</v>
      </c>
      <c r="C362">
        <v>95112</v>
      </c>
      <c r="D362" t="str">
        <f>"472-26-007"</f>
        <v>472-26-007</v>
      </c>
      <c r="E362" t="s">
        <v>23</v>
      </c>
      <c r="F362" t="s">
        <v>56</v>
      </c>
      <c r="G362">
        <v>0</v>
      </c>
      <c r="H362">
        <v>800</v>
      </c>
      <c r="I362" s="1">
        <v>0.122953828209159</v>
      </c>
      <c r="J362" s="24" t="s">
        <v>12</v>
      </c>
      <c r="K362" t="s">
        <v>484</v>
      </c>
      <c r="L362" t="s">
        <v>485</v>
      </c>
      <c r="M362" t="s">
        <v>486</v>
      </c>
      <c r="P362">
        <f>S362</f>
        <v>47</v>
      </c>
      <c r="R362" t="s">
        <v>25</v>
      </c>
      <c r="S362">
        <v>47</v>
      </c>
    </row>
    <row r="363" spans="1:20" x14ac:dyDescent="0.25">
      <c r="A363">
        <v>361</v>
      </c>
      <c r="B363" t="s">
        <v>410</v>
      </c>
      <c r="C363">
        <v>95112</v>
      </c>
      <c r="D363" t="str">
        <f>"472-27-105"</f>
        <v>472-27-105</v>
      </c>
      <c r="E363" t="s">
        <v>244</v>
      </c>
      <c r="F363" t="s">
        <v>244</v>
      </c>
      <c r="G363">
        <v>50</v>
      </c>
      <c r="H363">
        <v>250</v>
      </c>
      <c r="I363" s="1">
        <v>0.85846751711524205</v>
      </c>
      <c r="J363" s="24" t="s">
        <v>134</v>
      </c>
      <c r="K363" t="s">
        <v>484</v>
      </c>
      <c r="L363" t="s">
        <v>485</v>
      </c>
      <c r="M363" t="s">
        <v>486</v>
      </c>
      <c r="P363">
        <f>S363</f>
        <v>92</v>
      </c>
      <c r="R363" t="s">
        <v>25</v>
      </c>
      <c r="S363">
        <v>92</v>
      </c>
    </row>
    <row r="364" spans="1:20" x14ac:dyDescent="0.25">
      <c r="A364">
        <v>362</v>
      </c>
      <c r="B364" t="s">
        <v>411</v>
      </c>
      <c r="C364">
        <v>95112</v>
      </c>
      <c r="D364" t="str">
        <f>"472-27-010"</f>
        <v>472-27-010</v>
      </c>
      <c r="E364" t="s">
        <v>23</v>
      </c>
      <c r="F364" t="s">
        <v>56</v>
      </c>
      <c r="G364">
        <v>0</v>
      </c>
      <c r="H364">
        <v>800</v>
      </c>
      <c r="I364" s="1">
        <v>6.4465043681515594E-2</v>
      </c>
      <c r="J364" s="24" t="s">
        <v>12</v>
      </c>
      <c r="K364" t="s">
        <v>484</v>
      </c>
      <c r="L364" t="s">
        <v>485</v>
      </c>
      <c r="M364" t="s">
        <v>486</v>
      </c>
      <c r="P364">
        <f>S364</f>
        <v>12</v>
      </c>
      <c r="R364" t="s">
        <v>25</v>
      </c>
      <c r="S364">
        <v>12</v>
      </c>
    </row>
    <row r="365" spans="1:20" x14ac:dyDescent="0.25">
      <c r="A365">
        <v>363</v>
      </c>
      <c r="B365" t="s">
        <v>412</v>
      </c>
      <c r="C365">
        <v>95122</v>
      </c>
      <c r="D365" t="str">
        <f>"477-16-001"</f>
        <v>477-16-001</v>
      </c>
      <c r="E365" t="s">
        <v>28</v>
      </c>
      <c r="F365" t="s">
        <v>68</v>
      </c>
      <c r="G365">
        <v>0</v>
      </c>
      <c r="H365">
        <v>8</v>
      </c>
      <c r="I365" s="1">
        <v>1.24587393278234</v>
      </c>
      <c r="J365" s="24" t="s">
        <v>8</v>
      </c>
      <c r="K365" t="s">
        <v>484</v>
      </c>
      <c r="L365" t="s">
        <v>485</v>
      </c>
      <c r="M365" t="s">
        <v>486</v>
      </c>
      <c r="P365">
        <f>S365</f>
        <v>12</v>
      </c>
      <c r="R365" t="s">
        <v>25</v>
      </c>
      <c r="S365">
        <v>12</v>
      </c>
    </row>
    <row r="366" spans="1:20" x14ac:dyDescent="0.25">
      <c r="A366">
        <v>364</v>
      </c>
      <c r="B366" t="s">
        <v>413</v>
      </c>
      <c r="C366">
        <v>95112</v>
      </c>
      <c r="D366" t="str">
        <f>"477-29-056"</f>
        <v>477-29-056</v>
      </c>
      <c r="E366" t="s">
        <v>64</v>
      </c>
      <c r="F366" t="s">
        <v>64</v>
      </c>
      <c r="G366">
        <v>30</v>
      </c>
      <c r="H366">
        <v>95</v>
      </c>
      <c r="I366" s="1">
        <v>0.51428010929480905</v>
      </c>
      <c r="J366" s="24" t="s">
        <v>12</v>
      </c>
      <c r="K366" t="s">
        <v>484</v>
      </c>
      <c r="L366" t="s">
        <v>485</v>
      </c>
      <c r="M366" t="s">
        <v>486</v>
      </c>
      <c r="N366" s="2" t="s">
        <v>481</v>
      </c>
      <c r="O366">
        <f>S366</f>
        <v>45</v>
      </c>
      <c r="R366" t="s">
        <v>9</v>
      </c>
      <c r="S366">
        <v>45</v>
      </c>
    </row>
    <row r="367" spans="1:20" x14ac:dyDescent="0.25">
      <c r="A367">
        <v>365</v>
      </c>
      <c r="B367" t="s">
        <v>414</v>
      </c>
      <c r="C367">
        <v>95116</v>
      </c>
      <c r="D367" t="str">
        <f>"481-02-055"</f>
        <v>481-02-055</v>
      </c>
      <c r="E367" t="s">
        <v>6</v>
      </c>
      <c r="F367" t="s">
        <v>33</v>
      </c>
      <c r="G367">
        <v>0</v>
      </c>
      <c r="H367">
        <v>0</v>
      </c>
      <c r="I367" s="1">
        <v>0.14009424209403801</v>
      </c>
      <c r="J367" s="24" t="s">
        <v>43</v>
      </c>
      <c r="K367" t="s">
        <v>484</v>
      </c>
      <c r="L367" t="s">
        <v>485</v>
      </c>
      <c r="M367" t="s">
        <v>486</v>
      </c>
      <c r="N367" s="2" t="s">
        <v>481</v>
      </c>
      <c r="O367">
        <f>S367</f>
        <v>11</v>
      </c>
      <c r="R367" t="s">
        <v>9</v>
      </c>
      <c r="S367">
        <v>11</v>
      </c>
      <c r="T367" s="3" t="s">
        <v>487</v>
      </c>
    </row>
    <row r="368" spans="1:20" x14ac:dyDescent="0.25">
      <c r="A368">
        <v>366</v>
      </c>
      <c r="B368" t="s">
        <v>415</v>
      </c>
      <c r="C368">
        <v>95116</v>
      </c>
      <c r="D368" t="str">
        <f>"481-02-056"</f>
        <v>481-02-056</v>
      </c>
      <c r="E368" t="s">
        <v>6</v>
      </c>
      <c r="F368" t="s">
        <v>33</v>
      </c>
      <c r="G368">
        <v>0</v>
      </c>
      <c r="H368">
        <v>0</v>
      </c>
      <c r="I368" s="1">
        <v>0.59507912899542004</v>
      </c>
      <c r="J368" s="24" t="s">
        <v>8</v>
      </c>
      <c r="K368" t="s">
        <v>484</v>
      </c>
      <c r="L368" t="s">
        <v>485</v>
      </c>
      <c r="M368" t="s">
        <v>486</v>
      </c>
      <c r="N368" s="2" t="s">
        <v>481</v>
      </c>
      <c r="O368">
        <f>S368</f>
        <v>48</v>
      </c>
      <c r="R368" t="s">
        <v>9</v>
      </c>
      <c r="S368">
        <v>48</v>
      </c>
      <c r="T368" s="3" t="s">
        <v>487</v>
      </c>
    </row>
    <row r="369" spans="1:20" x14ac:dyDescent="0.25">
      <c r="A369">
        <v>367</v>
      </c>
      <c r="B369" t="s">
        <v>416</v>
      </c>
      <c r="C369">
        <v>95116</v>
      </c>
      <c r="D369" t="str">
        <f>"481-06-091"</f>
        <v>481-06-091</v>
      </c>
      <c r="E369" t="s">
        <v>11</v>
      </c>
      <c r="F369" t="s">
        <v>45</v>
      </c>
      <c r="G369">
        <v>0</v>
      </c>
      <c r="H369">
        <v>250</v>
      </c>
      <c r="I369" s="1">
        <v>1.03476885988699</v>
      </c>
      <c r="J369" s="24" t="s">
        <v>12</v>
      </c>
      <c r="K369" t="s">
        <v>484</v>
      </c>
      <c r="L369" t="s">
        <v>485</v>
      </c>
      <c r="M369" t="s">
        <v>486</v>
      </c>
      <c r="P369">
        <f>S369</f>
        <v>80</v>
      </c>
      <c r="R369" t="s">
        <v>25</v>
      </c>
      <c r="S369">
        <v>80</v>
      </c>
    </row>
    <row r="370" spans="1:20" x14ac:dyDescent="0.25">
      <c r="A370">
        <v>368</v>
      </c>
      <c r="B370" t="s">
        <v>417</v>
      </c>
      <c r="C370">
        <v>95116</v>
      </c>
      <c r="D370" t="str">
        <f>"481-08-015"</f>
        <v>481-08-015</v>
      </c>
      <c r="E370" t="s">
        <v>11</v>
      </c>
      <c r="F370" t="s">
        <v>45</v>
      </c>
      <c r="G370">
        <v>0</v>
      </c>
      <c r="H370">
        <v>250</v>
      </c>
      <c r="I370" s="1">
        <v>1.2229776479124901</v>
      </c>
      <c r="J370" s="24" t="s">
        <v>12</v>
      </c>
      <c r="K370" t="s">
        <v>484</v>
      </c>
      <c r="L370" t="s">
        <v>485</v>
      </c>
      <c r="M370" t="s">
        <v>486</v>
      </c>
      <c r="N370" t="s">
        <v>483</v>
      </c>
      <c r="O370">
        <f>S370</f>
        <v>89</v>
      </c>
      <c r="R370" t="s">
        <v>9</v>
      </c>
      <c r="S370">
        <v>89</v>
      </c>
    </row>
    <row r="371" spans="1:20" x14ac:dyDescent="0.25">
      <c r="A371">
        <v>369</v>
      </c>
      <c r="B371" t="s">
        <v>418</v>
      </c>
      <c r="C371">
        <v>95116</v>
      </c>
      <c r="D371" t="str">
        <f>"481-08-016"</f>
        <v>481-08-016</v>
      </c>
      <c r="E371" t="s">
        <v>11</v>
      </c>
      <c r="F371" t="s">
        <v>45</v>
      </c>
      <c r="G371">
        <v>0</v>
      </c>
      <c r="H371">
        <v>250</v>
      </c>
      <c r="I371" s="1">
        <v>0.669643748167282</v>
      </c>
      <c r="J371" s="24" t="s">
        <v>12</v>
      </c>
      <c r="K371" t="s">
        <v>484</v>
      </c>
      <c r="L371" t="s">
        <v>485</v>
      </c>
      <c r="M371" t="s">
        <v>486</v>
      </c>
      <c r="P371">
        <f>S371</f>
        <v>76</v>
      </c>
      <c r="R371" t="s">
        <v>25</v>
      </c>
      <c r="S371">
        <v>76</v>
      </c>
    </row>
    <row r="372" spans="1:20" x14ac:dyDescent="0.25">
      <c r="A372">
        <v>370</v>
      </c>
      <c r="B372" t="s">
        <v>419</v>
      </c>
      <c r="C372">
        <v>95116</v>
      </c>
      <c r="D372" t="str">
        <f>"481-18-047"</f>
        <v>481-18-047</v>
      </c>
      <c r="E372" t="s">
        <v>11</v>
      </c>
      <c r="F372" t="s">
        <v>45</v>
      </c>
      <c r="G372">
        <v>0</v>
      </c>
      <c r="H372">
        <v>250</v>
      </c>
      <c r="I372" s="1">
        <v>0.65307451696776597</v>
      </c>
      <c r="J372" s="24" t="s">
        <v>12</v>
      </c>
      <c r="K372" t="s">
        <v>484</v>
      </c>
      <c r="L372" t="s">
        <v>485</v>
      </c>
      <c r="M372" t="s">
        <v>486</v>
      </c>
      <c r="P372">
        <f>S372</f>
        <v>82</v>
      </c>
      <c r="R372" t="s">
        <v>25</v>
      </c>
      <c r="S372">
        <v>82</v>
      </c>
    </row>
    <row r="373" spans="1:20" x14ac:dyDescent="0.25">
      <c r="A373">
        <v>371</v>
      </c>
      <c r="B373" t="s">
        <v>420</v>
      </c>
      <c r="C373">
        <v>95116</v>
      </c>
      <c r="D373" t="str">
        <f>"481-21-014"</f>
        <v>481-21-014</v>
      </c>
      <c r="E373" t="s">
        <v>11</v>
      </c>
      <c r="F373" t="s">
        <v>45</v>
      </c>
      <c r="G373">
        <v>0</v>
      </c>
      <c r="H373">
        <v>250</v>
      </c>
      <c r="I373" s="1">
        <v>0.59446458837018701</v>
      </c>
      <c r="J373" s="24" t="s">
        <v>17</v>
      </c>
      <c r="K373" t="s">
        <v>484</v>
      </c>
      <c r="L373" t="s">
        <v>485</v>
      </c>
      <c r="M373" t="s">
        <v>486</v>
      </c>
      <c r="P373">
        <f>S373</f>
        <v>60</v>
      </c>
      <c r="R373" t="s">
        <v>25</v>
      </c>
      <c r="S373">
        <v>60</v>
      </c>
    </row>
    <row r="374" spans="1:20" x14ac:dyDescent="0.25">
      <c r="A374">
        <v>372</v>
      </c>
      <c r="B374" t="s">
        <v>421</v>
      </c>
      <c r="C374">
        <v>95116</v>
      </c>
      <c r="D374" t="str">
        <f>"481-22-055"</f>
        <v>481-22-055</v>
      </c>
      <c r="E374" t="s">
        <v>11</v>
      </c>
      <c r="F374" t="s">
        <v>45</v>
      </c>
      <c r="G374">
        <v>0</v>
      </c>
      <c r="H374">
        <v>250</v>
      </c>
      <c r="I374" s="1">
        <v>0.61154088005672003</v>
      </c>
      <c r="J374" s="24" t="s">
        <v>12</v>
      </c>
      <c r="K374" t="s">
        <v>484</v>
      </c>
      <c r="L374" t="s">
        <v>485</v>
      </c>
      <c r="M374" t="s">
        <v>486</v>
      </c>
      <c r="P374">
        <f>S374</f>
        <v>62</v>
      </c>
      <c r="R374" t="s">
        <v>25</v>
      </c>
      <c r="S374">
        <v>62</v>
      </c>
    </row>
    <row r="375" spans="1:20" x14ac:dyDescent="0.25">
      <c r="A375">
        <v>373</v>
      </c>
      <c r="B375" t="s">
        <v>422</v>
      </c>
      <c r="C375">
        <v>95116</v>
      </c>
      <c r="D375" t="str">
        <f>"481-27-014"</f>
        <v>481-27-014</v>
      </c>
      <c r="E375" t="s">
        <v>28</v>
      </c>
      <c r="F375" t="s">
        <v>68</v>
      </c>
      <c r="G375">
        <v>0</v>
      </c>
      <c r="H375">
        <v>8</v>
      </c>
      <c r="I375" s="1">
        <v>0.88753101961576697</v>
      </c>
      <c r="J375" s="24" t="s">
        <v>17</v>
      </c>
      <c r="K375" t="s">
        <v>484</v>
      </c>
      <c r="L375" t="s">
        <v>485</v>
      </c>
      <c r="M375" t="s">
        <v>486</v>
      </c>
      <c r="P375">
        <f>S375</f>
        <v>5</v>
      </c>
      <c r="R375" t="s">
        <v>25</v>
      </c>
      <c r="S375">
        <v>5</v>
      </c>
    </row>
    <row r="376" spans="1:20" ht="30" x14ac:dyDescent="0.25">
      <c r="A376">
        <v>374</v>
      </c>
      <c r="B376" t="s">
        <v>423</v>
      </c>
      <c r="C376">
        <v>95134</v>
      </c>
      <c r="D376" t="str">
        <f>"097-53-007"</f>
        <v>097-53-007</v>
      </c>
      <c r="E376" t="s">
        <v>59</v>
      </c>
      <c r="F376" t="s">
        <v>424</v>
      </c>
      <c r="G376">
        <v>0</v>
      </c>
      <c r="H376">
        <v>0</v>
      </c>
      <c r="I376" s="1">
        <v>5.0546084638303901</v>
      </c>
      <c r="J376" s="24" t="s">
        <v>65</v>
      </c>
      <c r="K376" t="s">
        <v>484</v>
      </c>
      <c r="L376" t="s">
        <v>485</v>
      </c>
      <c r="M376" t="s">
        <v>486</v>
      </c>
      <c r="N376" s="2" t="s">
        <v>481</v>
      </c>
      <c r="O376">
        <f>S376</f>
        <v>379</v>
      </c>
      <c r="R376" t="s">
        <v>9</v>
      </c>
      <c r="S376">
        <v>379</v>
      </c>
      <c r="T376" t="s">
        <v>619</v>
      </c>
    </row>
    <row r="377" spans="1:20" x14ac:dyDescent="0.25">
      <c r="A377">
        <v>375</v>
      </c>
      <c r="B377" t="s">
        <v>425</v>
      </c>
      <c r="C377">
        <v>95134</v>
      </c>
      <c r="D377" t="str">
        <f>"097-53-008"</f>
        <v>097-53-008</v>
      </c>
      <c r="E377" t="s">
        <v>59</v>
      </c>
      <c r="F377" t="s">
        <v>424</v>
      </c>
      <c r="G377">
        <v>0</v>
      </c>
      <c r="H377">
        <v>0</v>
      </c>
      <c r="I377" s="1">
        <v>4.2774501535213396</v>
      </c>
      <c r="J377" s="24" t="s">
        <v>60</v>
      </c>
      <c r="K377" t="s">
        <v>484</v>
      </c>
      <c r="L377" t="s">
        <v>485</v>
      </c>
      <c r="M377" t="s">
        <v>486</v>
      </c>
      <c r="N377" s="2" t="s">
        <v>481</v>
      </c>
      <c r="O377">
        <v>80</v>
      </c>
      <c r="Q377">
        <v>241</v>
      </c>
      <c r="R377" t="s">
        <v>18</v>
      </c>
      <c r="S377">
        <v>321</v>
      </c>
      <c r="T377" t="s">
        <v>618</v>
      </c>
    </row>
    <row r="378" spans="1:20" x14ac:dyDescent="0.25">
      <c r="A378">
        <v>376</v>
      </c>
      <c r="B378" t="s">
        <v>426</v>
      </c>
      <c r="C378">
        <v>95116</v>
      </c>
      <c r="D378" t="str">
        <f>"481-43-028"</f>
        <v>481-43-028</v>
      </c>
      <c r="E378" t="s">
        <v>6</v>
      </c>
      <c r="F378" t="s">
        <v>33</v>
      </c>
      <c r="G378">
        <v>0</v>
      </c>
      <c r="H378">
        <v>0</v>
      </c>
      <c r="I378" s="1">
        <v>1.0341532282266801</v>
      </c>
      <c r="J378" s="24" t="s">
        <v>12</v>
      </c>
      <c r="K378" t="s">
        <v>484</v>
      </c>
      <c r="L378" t="s">
        <v>485</v>
      </c>
      <c r="M378" t="s">
        <v>486</v>
      </c>
      <c r="N378" s="2" t="s">
        <v>481</v>
      </c>
      <c r="O378">
        <f>S378</f>
        <v>89</v>
      </c>
      <c r="R378" t="s">
        <v>9</v>
      </c>
      <c r="S378">
        <v>89</v>
      </c>
      <c r="T378" s="3" t="s">
        <v>487</v>
      </c>
    </row>
    <row r="379" spans="1:20" x14ac:dyDescent="0.25">
      <c r="A379">
        <v>377</v>
      </c>
      <c r="B379" t="s">
        <v>427</v>
      </c>
      <c r="C379">
        <v>95133</v>
      </c>
      <c r="D379" t="str">
        <f>"254-14-108"</f>
        <v>254-14-108</v>
      </c>
      <c r="E379" t="s">
        <v>11</v>
      </c>
      <c r="F379" t="s">
        <v>11</v>
      </c>
      <c r="G379">
        <v>55</v>
      </c>
      <c r="H379">
        <v>125</v>
      </c>
      <c r="I379" s="1">
        <v>2.1914812350864299</v>
      </c>
      <c r="J379" s="24" t="s">
        <v>12</v>
      </c>
      <c r="K379" t="s">
        <v>484</v>
      </c>
      <c r="L379" t="s">
        <v>485</v>
      </c>
      <c r="M379" t="s">
        <v>486</v>
      </c>
      <c r="Q379">
        <f>S379</f>
        <v>154</v>
      </c>
      <c r="R379" t="s">
        <v>34</v>
      </c>
      <c r="S379">
        <v>154</v>
      </c>
    </row>
    <row r="380" spans="1:20" x14ac:dyDescent="0.25">
      <c r="A380">
        <v>378</v>
      </c>
      <c r="B380" t="s">
        <v>428</v>
      </c>
      <c r="C380">
        <v>95133</v>
      </c>
      <c r="D380" t="str">
        <f>"254-14-064"</f>
        <v>254-14-064</v>
      </c>
      <c r="E380" t="s">
        <v>11</v>
      </c>
      <c r="F380" t="s">
        <v>11</v>
      </c>
      <c r="G380">
        <v>55</v>
      </c>
      <c r="H380">
        <v>125</v>
      </c>
      <c r="I380" s="1">
        <v>2.3504939014446999</v>
      </c>
      <c r="J380" s="24" t="s">
        <v>12</v>
      </c>
      <c r="K380" t="s">
        <v>484</v>
      </c>
      <c r="L380" t="s">
        <v>485</v>
      </c>
      <c r="M380" t="s">
        <v>486</v>
      </c>
      <c r="Q380">
        <f>S380</f>
        <v>165</v>
      </c>
      <c r="R380" t="s">
        <v>34</v>
      </c>
      <c r="S380">
        <v>165</v>
      </c>
    </row>
    <row r="381" spans="1:20" ht="30" x14ac:dyDescent="0.25">
      <c r="A381">
        <v>379</v>
      </c>
      <c r="B381" t="s">
        <v>429</v>
      </c>
      <c r="C381">
        <v>95134</v>
      </c>
      <c r="D381" t="str">
        <f>"097-06-032"</f>
        <v>097-06-032</v>
      </c>
      <c r="E381" t="s">
        <v>59</v>
      </c>
      <c r="F381" t="s">
        <v>59</v>
      </c>
      <c r="G381">
        <v>0</v>
      </c>
      <c r="H381">
        <v>0</v>
      </c>
      <c r="I381" s="1">
        <v>17.710664980881401</v>
      </c>
      <c r="J381" s="24" t="s">
        <v>65</v>
      </c>
      <c r="K381" t="s">
        <v>484</v>
      </c>
      <c r="L381" t="s">
        <v>485</v>
      </c>
      <c r="M381" t="s">
        <v>486</v>
      </c>
      <c r="N381" t="s">
        <v>483</v>
      </c>
      <c r="O381">
        <v>339</v>
      </c>
      <c r="Q381">
        <v>1017</v>
      </c>
      <c r="R381" t="s">
        <v>18</v>
      </c>
      <c r="S381">
        <v>1356</v>
      </c>
      <c r="T381" t="s">
        <v>618</v>
      </c>
    </row>
    <row r="382" spans="1:20" x14ac:dyDescent="0.25">
      <c r="A382">
        <v>380</v>
      </c>
      <c r="B382" t="s">
        <v>430</v>
      </c>
      <c r="C382">
        <v>95134</v>
      </c>
      <c r="D382" t="str">
        <f>"097-07-046"</f>
        <v>097-07-046</v>
      </c>
      <c r="E382" t="s">
        <v>59</v>
      </c>
      <c r="F382" t="s">
        <v>59</v>
      </c>
      <c r="G382">
        <v>0</v>
      </c>
      <c r="H382">
        <v>0</v>
      </c>
      <c r="I382" s="1">
        <v>4.2746703212032404</v>
      </c>
      <c r="J382" s="24" t="s">
        <v>60</v>
      </c>
      <c r="K382" t="s">
        <v>484</v>
      </c>
      <c r="L382" t="s">
        <v>617</v>
      </c>
      <c r="M382" t="s">
        <v>486</v>
      </c>
      <c r="Q382">
        <f>S382</f>
        <v>321</v>
      </c>
      <c r="R382" t="s">
        <v>34</v>
      </c>
      <c r="S382">
        <v>321</v>
      </c>
      <c r="T382" t="s">
        <v>620</v>
      </c>
    </row>
    <row r="383" spans="1:20" x14ac:dyDescent="0.25">
      <c r="A383">
        <v>381</v>
      </c>
      <c r="B383" t="s">
        <v>431</v>
      </c>
      <c r="C383">
        <v>95134</v>
      </c>
      <c r="D383" t="str">
        <f>"097-07-047"</f>
        <v>097-07-047</v>
      </c>
      <c r="E383" t="s">
        <v>59</v>
      </c>
      <c r="F383" t="s">
        <v>59</v>
      </c>
      <c r="G383">
        <v>0</v>
      </c>
      <c r="H383">
        <v>0</v>
      </c>
      <c r="I383" s="1">
        <v>3.6736279250533501</v>
      </c>
      <c r="J383" s="24" t="s">
        <v>17</v>
      </c>
      <c r="K383" t="s">
        <v>484</v>
      </c>
      <c r="L383" t="s">
        <v>485</v>
      </c>
      <c r="M383" t="s">
        <v>486</v>
      </c>
      <c r="N383" t="s">
        <v>483</v>
      </c>
      <c r="O383">
        <f>S383</f>
        <v>335</v>
      </c>
      <c r="R383" t="s">
        <v>9</v>
      </c>
      <c r="S383">
        <v>335</v>
      </c>
      <c r="T383" t="s">
        <v>619</v>
      </c>
    </row>
    <row r="384" spans="1:20" x14ac:dyDescent="0.25">
      <c r="A384">
        <v>382</v>
      </c>
      <c r="B384" t="s">
        <v>432</v>
      </c>
      <c r="C384">
        <v>95134</v>
      </c>
      <c r="D384" t="str">
        <f>"097-07-028"</f>
        <v>097-07-028</v>
      </c>
      <c r="E384" t="s">
        <v>59</v>
      </c>
      <c r="F384" t="s">
        <v>59</v>
      </c>
      <c r="G384">
        <v>0</v>
      </c>
      <c r="H384">
        <v>0</v>
      </c>
      <c r="I384" s="1">
        <v>2.6197612843975802</v>
      </c>
      <c r="J384" s="24" t="s">
        <v>17</v>
      </c>
      <c r="K384" t="s">
        <v>484</v>
      </c>
      <c r="L384" t="s">
        <v>485</v>
      </c>
      <c r="M384" t="s">
        <v>486</v>
      </c>
      <c r="N384" t="s">
        <v>483</v>
      </c>
      <c r="O384">
        <f>S384</f>
        <v>239</v>
      </c>
      <c r="R384" t="s">
        <v>9</v>
      </c>
      <c r="S384">
        <v>239</v>
      </c>
      <c r="T384" t="s">
        <v>619</v>
      </c>
    </row>
    <row r="385" spans="1:20" ht="30" x14ac:dyDescent="0.25">
      <c r="A385">
        <v>383</v>
      </c>
      <c r="B385" t="s">
        <v>433</v>
      </c>
      <c r="C385">
        <v>95134</v>
      </c>
      <c r="D385" t="str">
        <f>"097-07-030"</f>
        <v>097-07-030</v>
      </c>
      <c r="E385" t="s">
        <v>59</v>
      </c>
      <c r="F385" t="s">
        <v>59</v>
      </c>
      <c r="G385">
        <v>0</v>
      </c>
      <c r="H385">
        <v>0</v>
      </c>
      <c r="I385" s="1">
        <v>3.0023346468546599</v>
      </c>
      <c r="J385" s="24" t="s">
        <v>65</v>
      </c>
      <c r="K385" t="s">
        <v>484</v>
      </c>
      <c r="L385" t="s">
        <v>485</v>
      </c>
      <c r="M385" t="s">
        <v>486</v>
      </c>
      <c r="Q385">
        <f>S385</f>
        <v>225</v>
      </c>
      <c r="R385" t="s">
        <v>34</v>
      </c>
      <c r="S385">
        <v>225</v>
      </c>
      <c r="T385" t="s">
        <v>620</v>
      </c>
    </row>
    <row r="386" spans="1:20" x14ac:dyDescent="0.25">
      <c r="A386">
        <v>384</v>
      </c>
      <c r="B386" t="s">
        <v>434</v>
      </c>
      <c r="C386">
        <v>95134</v>
      </c>
      <c r="D386" t="str">
        <f>"097-07-084"</f>
        <v>097-07-084</v>
      </c>
      <c r="E386" t="s">
        <v>59</v>
      </c>
      <c r="F386" t="s">
        <v>59</v>
      </c>
      <c r="G386">
        <v>0</v>
      </c>
      <c r="H386">
        <v>0</v>
      </c>
      <c r="I386" s="1">
        <v>4.3418570768600802</v>
      </c>
      <c r="J386" s="24" t="s">
        <v>60</v>
      </c>
      <c r="K386" t="s">
        <v>484</v>
      </c>
      <c r="L386" t="s">
        <v>485</v>
      </c>
      <c r="M386" t="s">
        <v>486</v>
      </c>
      <c r="Q386">
        <f>S386</f>
        <v>326</v>
      </c>
      <c r="R386" t="s">
        <v>34</v>
      </c>
      <c r="S386">
        <v>326</v>
      </c>
      <c r="T386" t="s">
        <v>620</v>
      </c>
    </row>
    <row r="387" spans="1:20" x14ac:dyDescent="0.25">
      <c r="A387">
        <v>385</v>
      </c>
      <c r="B387" t="s">
        <v>435</v>
      </c>
      <c r="C387">
        <v>95124</v>
      </c>
      <c r="D387" t="str">
        <f>"419-05-055"</f>
        <v>419-05-055</v>
      </c>
      <c r="E387" t="s">
        <v>6</v>
      </c>
      <c r="F387" t="s">
        <v>30</v>
      </c>
      <c r="G387">
        <v>0</v>
      </c>
      <c r="H387">
        <v>0</v>
      </c>
      <c r="I387" s="1">
        <v>0.66752815218538697</v>
      </c>
      <c r="J387" s="24" t="s">
        <v>12</v>
      </c>
      <c r="K387" t="s">
        <v>484</v>
      </c>
      <c r="L387" t="s">
        <v>485</v>
      </c>
      <c r="M387" t="s">
        <v>486</v>
      </c>
      <c r="N387" s="2" t="s">
        <v>481</v>
      </c>
      <c r="O387">
        <f>S387</f>
        <v>58</v>
      </c>
      <c r="R387" t="s">
        <v>9</v>
      </c>
      <c r="S387">
        <v>58</v>
      </c>
      <c r="T387" t="s">
        <v>488</v>
      </c>
    </row>
    <row r="388" spans="1:20" x14ac:dyDescent="0.25">
      <c r="A388">
        <v>386</v>
      </c>
      <c r="B388" t="s">
        <v>436</v>
      </c>
      <c r="C388">
        <v>95134</v>
      </c>
      <c r="D388" t="str">
        <f>"097-07-039"</f>
        <v>097-07-039</v>
      </c>
      <c r="E388" t="s">
        <v>59</v>
      </c>
      <c r="F388" t="s">
        <v>424</v>
      </c>
      <c r="G388">
        <v>0</v>
      </c>
      <c r="H388">
        <v>0</v>
      </c>
      <c r="I388" s="1">
        <v>3.0785802914180902</v>
      </c>
      <c r="J388" s="24" t="s">
        <v>17</v>
      </c>
      <c r="K388" t="s">
        <v>484</v>
      </c>
      <c r="L388" t="s">
        <v>485</v>
      </c>
      <c r="M388" t="s">
        <v>486</v>
      </c>
      <c r="N388" s="2" t="s">
        <v>481</v>
      </c>
      <c r="O388">
        <f>S388</f>
        <v>280</v>
      </c>
      <c r="R388" t="s">
        <v>9</v>
      </c>
      <c r="S388">
        <v>280</v>
      </c>
      <c r="T388" t="s">
        <v>619</v>
      </c>
    </row>
    <row r="389" spans="1:20" x14ac:dyDescent="0.25">
      <c r="A389">
        <v>387</v>
      </c>
      <c r="B389" t="s">
        <v>437</v>
      </c>
      <c r="C389">
        <v>95133</v>
      </c>
      <c r="D389" t="str">
        <f>"254-29-017"</f>
        <v>254-29-017</v>
      </c>
      <c r="E389" t="s">
        <v>6</v>
      </c>
      <c r="F389" t="s">
        <v>33</v>
      </c>
      <c r="G389">
        <v>0</v>
      </c>
      <c r="H389">
        <v>0</v>
      </c>
      <c r="I389" s="1">
        <v>0.58058553927852297</v>
      </c>
      <c r="J389" s="24" t="s">
        <v>14</v>
      </c>
      <c r="K389" t="s">
        <v>484</v>
      </c>
      <c r="L389" t="s">
        <v>485</v>
      </c>
      <c r="M389" t="s">
        <v>486</v>
      </c>
      <c r="N389" s="2" t="s">
        <v>481</v>
      </c>
      <c r="O389">
        <f>S389</f>
        <v>53</v>
      </c>
      <c r="R389" t="s">
        <v>9</v>
      </c>
      <c r="S389">
        <v>53</v>
      </c>
      <c r="T389" t="s">
        <v>488</v>
      </c>
    </row>
    <row r="390" spans="1:20" x14ac:dyDescent="0.25">
      <c r="A390">
        <v>388</v>
      </c>
      <c r="B390" t="s">
        <v>438</v>
      </c>
      <c r="C390">
        <v>95134</v>
      </c>
      <c r="D390" t="str">
        <f>"097-07-040"</f>
        <v>097-07-040</v>
      </c>
      <c r="E390" t="s">
        <v>59</v>
      </c>
      <c r="F390" t="s">
        <v>424</v>
      </c>
      <c r="G390">
        <v>0</v>
      </c>
      <c r="H390">
        <v>0</v>
      </c>
      <c r="I390" s="1">
        <v>6.3326876468588802</v>
      </c>
      <c r="J390" s="24" t="s">
        <v>60</v>
      </c>
      <c r="K390" t="s">
        <v>484</v>
      </c>
      <c r="L390" t="s">
        <v>485</v>
      </c>
      <c r="M390" t="s">
        <v>486</v>
      </c>
      <c r="N390" s="2" t="s">
        <v>481</v>
      </c>
      <c r="O390">
        <v>119</v>
      </c>
      <c r="Q390">
        <v>356</v>
      </c>
      <c r="R390" t="s">
        <v>18</v>
      </c>
      <c r="S390">
        <v>475</v>
      </c>
      <c r="T390" t="s">
        <v>618</v>
      </c>
    </row>
    <row r="391" spans="1:20" x14ac:dyDescent="0.25">
      <c r="A391">
        <v>389</v>
      </c>
      <c r="B391" t="s">
        <v>439</v>
      </c>
      <c r="C391">
        <v>95134</v>
      </c>
      <c r="D391" t="str">
        <f>"097-07-068"</f>
        <v>097-07-068</v>
      </c>
      <c r="E391" t="s">
        <v>244</v>
      </c>
      <c r="F391" t="s">
        <v>244</v>
      </c>
      <c r="G391">
        <v>50</v>
      </c>
      <c r="H391">
        <v>250</v>
      </c>
      <c r="I391" s="1">
        <v>33.622633629453503</v>
      </c>
      <c r="J391" s="24" t="s">
        <v>440</v>
      </c>
      <c r="K391" t="s">
        <v>484</v>
      </c>
      <c r="L391" t="s">
        <v>485</v>
      </c>
      <c r="M391" t="s">
        <v>486</v>
      </c>
      <c r="Q391">
        <f>S391</f>
        <v>2374</v>
      </c>
      <c r="R391" t="s">
        <v>34</v>
      </c>
      <c r="S391">
        <v>2374</v>
      </c>
    </row>
    <row r="392" spans="1:20" x14ac:dyDescent="0.25">
      <c r="A392">
        <v>390</v>
      </c>
      <c r="B392" t="s">
        <v>441</v>
      </c>
      <c r="C392">
        <v>95124</v>
      </c>
      <c r="D392" t="str">
        <f>"421-05-074"</f>
        <v>421-05-074</v>
      </c>
      <c r="E392" t="s">
        <v>6</v>
      </c>
      <c r="F392" t="s">
        <v>33</v>
      </c>
      <c r="G392">
        <v>0</v>
      </c>
      <c r="H392">
        <v>0</v>
      </c>
      <c r="I392" s="1">
        <v>0.56884989713078105</v>
      </c>
      <c r="J392" s="24" t="s">
        <v>14</v>
      </c>
      <c r="K392" t="s">
        <v>484</v>
      </c>
      <c r="L392" t="s">
        <v>485</v>
      </c>
      <c r="M392" t="s">
        <v>486</v>
      </c>
      <c r="N392" s="2" t="s">
        <v>481</v>
      </c>
      <c r="O392">
        <f>S392</f>
        <v>50</v>
      </c>
      <c r="R392" t="s">
        <v>9</v>
      </c>
      <c r="S392">
        <v>50</v>
      </c>
      <c r="T392" t="s">
        <v>488</v>
      </c>
    </row>
    <row r="393" spans="1:20" x14ac:dyDescent="0.25">
      <c r="A393">
        <v>391</v>
      </c>
      <c r="B393" t="s">
        <v>442</v>
      </c>
      <c r="C393">
        <v>95125</v>
      </c>
      <c r="D393" t="str">
        <f>"429-06-060"</f>
        <v>429-06-060</v>
      </c>
      <c r="E393" t="s">
        <v>6</v>
      </c>
      <c r="F393" t="s">
        <v>33</v>
      </c>
      <c r="G393">
        <v>0</v>
      </c>
      <c r="H393">
        <v>0</v>
      </c>
      <c r="I393" s="1">
        <v>0.52691033234580598</v>
      </c>
      <c r="J393" s="24" t="s">
        <v>12</v>
      </c>
      <c r="K393" t="s">
        <v>484</v>
      </c>
      <c r="L393" t="s">
        <v>485</v>
      </c>
      <c r="M393" t="s">
        <v>486</v>
      </c>
      <c r="N393" s="2" t="s">
        <v>481</v>
      </c>
      <c r="O393">
        <f>S393</f>
        <v>37</v>
      </c>
      <c r="R393" t="s">
        <v>9</v>
      </c>
      <c r="S393">
        <v>37</v>
      </c>
    </row>
    <row r="394" spans="1:20" x14ac:dyDescent="0.25">
      <c r="A394">
        <v>392</v>
      </c>
      <c r="B394" t="s">
        <v>443</v>
      </c>
      <c r="C394">
        <v>95125</v>
      </c>
      <c r="D394" t="str">
        <f>"429-07-041"</f>
        <v>429-07-041</v>
      </c>
      <c r="E394" t="s">
        <v>6</v>
      </c>
      <c r="F394" t="s">
        <v>33</v>
      </c>
      <c r="G394">
        <v>0</v>
      </c>
      <c r="H394">
        <v>0</v>
      </c>
      <c r="I394" s="1">
        <v>0.63472203821058504</v>
      </c>
      <c r="J394" s="24" t="s">
        <v>12</v>
      </c>
      <c r="K394" t="s">
        <v>484</v>
      </c>
      <c r="L394" t="s">
        <v>485</v>
      </c>
      <c r="M394" t="s">
        <v>486</v>
      </c>
      <c r="N394" s="2" t="s">
        <v>481</v>
      </c>
      <c r="O394">
        <f>S394</f>
        <v>45</v>
      </c>
      <c r="R394" t="s">
        <v>9</v>
      </c>
      <c r="S394">
        <v>45</v>
      </c>
    </row>
    <row r="395" spans="1:20" x14ac:dyDescent="0.25">
      <c r="A395">
        <v>393</v>
      </c>
      <c r="B395" t="s">
        <v>444</v>
      </c>
      <c r="C395">
        <v>95125</v>
      </c>
      <c r="D395" t="str">
        <f>"429-16-051"</f>
        <v>429-16-051</v>
      </c>
      <c r="E395" t="s">
        <v>6</v>
      </c>
      <c r="F395" t="s">
        <v>33</v>
      </c>
      <c r="G395">
        <v>0</v>
      </c>
      <c r="H395">
        <v>0</v>
      </c>
      <c r="I395" s="1">
        <v>0.70554295265827704</v>
      </c>
      <c r="J395" s="24" t="s">
        <v>14</v>
      </c>
      <c r="K395" t="s">
        <v>484</v>
      </c>
      <c r="L395" t="s">
        <v>485</v>
      </c>
      <c r="M395" t="s">
        <v>486</v>
      </c>
      <c r="P395">
        <f>S395</f>
        <v>41</v>
      </c>
      <c r="R395" t="s">
        <v>25</v>
      </c>
      <c r="S395">
        <v>41</v>
      </c>
    </row>
    <row r="396" spans="1:20" x14ac:dyDescent="0.25">
      <c r="A396">
        <v>394</v>
      </c>
      <c r="B396" t="s">
        <v>445</v>
      </c>
      <c r="C396">
        <v>95125</v>
      </c>
      <c r="D396" t="str">
        <f>"429-16-068"</f>
        <v>429-16-068</v>
      </c>
      <c r="E396" t="s">
        <v>6</v>
      </c>
      <c r="F396" t="s">
        <v>33</v>
      </c>
      <c r="G396">
        <v>0</v>
      </c>
      <c r="H396">
        <v>0</v>
      </c>
      <c r="I396" s="1">
        <v>1.61059439723705</v>
      </c>
      <c r="J396" s="24" t="s">
        <v>14</v>
      </c>
      <c r="K396" t="s">
        <v>484</v>
      </c>
      <c r="L396" t="s">
        <v>485</v>
      </c>
      <c r="M396" t="s">
        <v>486</v>
      </c>
      <c r="N396" s="2" t="s">
        <v>481</v>
      </c>
      <c r="O396">
        <f>S396</f>
        <v>117</v>
      </c>
      <c r="R396" t="s">
        <v>9</v>
      </c>
      <c r="S396">
        <v>117</v>
      </c>
    </row>
    <row r="397" spans="1:20" ht="30" x14ac:dyDescent="0.25">
      <c r="A397">
        <v>395</v>
      </c>
      <c r="B397" t="s">
        <v>446</v>
      </c>
      <c r="C397">
        <v>95134</v>
      </c>
      <c r="D397" t="str">
        <f>"101-30-004"</f>
        <v>101-30-004</v>
      </c>
      <c r="E397" t="s">
        <v>16</v>
      </c>
      <c r="F397" t="s">
        <v>16</v>
      </c>
      <c r="G397">
        <v>0</v>
      </c>
      <c r="H397">
        <v>0</v>
      </c>
      <c r="I397" s="1">
        <v>15.5978086391591</v>
      </c>
      <c r="J397" s="24" t="s">
        <v>65</v>
      </c>
      <c r="K397" t="s">
        <v>484</v>
      </c>
      <c r="L397" t="s">
        <v>485</v>
      </c>
      <c r="M397" t="s">
        <v>486</v>
      </c>
      <c r="N397" s="2" t="s">
        <v>481</v>
      </c>
      <c r="O397">
        <v>292</v>
      </c>
      <c r="Q397">
        <v>878</v>
      </c>
      <c r="R397" t="s">
        <v>18</v>
      </c>
      <c r="S397">
        <v>1170</v>
      </c>
      <c r="T397" t="s">
        <v>618</v>
      </c>
    </row>
    <row r="398" spans="1:20" ht="30" x14ac:dyDescent="0.25">
      <c r="A398">
        <v>396</v>
      </c>
      <c r="B398" t="s">
        <v>447</v>
      </c>
      <c r="C398">
        <v>95134</v>
      </c>
      <c r="D398" t="str">
        <f>"101-30-006"</f>
        <v>101-30-006</v>
      </c>
      <c r="E398" t="s">
        <v>16</v>
      </c>
      <c r="F398" t="s">
        <v>16</v>
      </c>
      <c r="G398">
        <v>0</v>
      </c>
      <c r="H398">
        <v>0</v>
      </c>
      <c r="I398" s="1">
        <v>22.807472993909801</v>
      </c>
      <c r="J398" s="24" t="s">
        <v>65</v>
      </c>
      <c r="K398" t="s">
        <v>484</v>
      </c>
      <c r="L398" t="s">
        <v>485</v>
      </c>
      <c r="M398" t="s">
        <v>486</v>
      </c>
      <c r="N398" s="2" t="s">
        <v>481</v>
      </c>
      <c r="O398">
        <v>428</v>
      </c>
      <c r="Q398">
        <v>1283</v>
      </c>
      <c r="R398" t="s">
        <v>18</v>
      </c>
      <c r="S398">
        <v>1711</v>
      </c>
      <c r="T398" t="s">
        <v>618</v>
      </c>
    </row>
    <row r="399" spans="1:20" x14ac:dyDescent="0.25">
      <c r="A399">
        <v>397</v>
      </c>
      <c r="B399" t="s">
        <v>448</v>
      </c>
      <c r="C399">
        <v>95134</v>
      </c>
      <c r="D399" t="str">
        <f>"101-29-005"</f>
        <v>101-29-005</v>
      </c>
      <c r="E399" t="s">
        <v>16</v>
      </c>
      <c r="F399" t="s">
        <v>16</v>
      </c>
      <c r="G399">
        <v>0</v>
      </c>
      <c r="H399">
        <v>0</v>
      </c>
      <c r="I399" s="1">
        <v>9.2367690468429693</v>
      </c>
      <c r="J399" s="24" t="s">
        <v>60</v>
      </c>
      <c r="K399" t="s">
        <v>484</v>
      </c>
      <c r="L399" t="s">
        <v>485</v>
      </c>
      <c r="M399" t="s">
        <v>486</v>
      </c>
      <c r="N399" s="2" t="s">
        <v>481</v>
      </c>
      <c r="O399">
        <v>173</v>
      </c>
      <c r="Q399">
        <v>520</v>
      </c>
      <c r="R399" t="s">
        <v>18</v>
      </c>
      <c r="S399">
        <v>693</v>
      </c>
      <c r="T399" t="s">
        <v>618</v>
      </c>
    </row>
    <row r="400" spans="1:20" x14ac:dyDescent="0.25">
      <c r="A400">
        <v>398</v>
      </c>
      <c r="B400" t="s">
        <v>449</v>
      </c>
      <c r="C400">
        <v>95134</v>
      </c>
      <c r="D400" t="str">
        <f>"101-29-007"</f>
        <v>101-29-007</v>
      </c>
      <c r="E400" t="s">
        <v>16</v>
      </c>
      <c r="F400" t="s">
        <v>16</v>
      </c>
      <c r="G400">
        <v>0</v>
      </c>
      <c r="H400">
        <v>0</v>
      </c>
      <c r="I400" s="1">
        <v>4.09915249272205</v>
      </c>
      <c r="J400" s="24" t="s">
        <v>60</v>
      </c>
      <c r="K400" t="s">
        <v>484</v>
      </c>
      <c r="L400" t="s">
        <v>485</v>
      </c>
      <c r="M400" t="s">
        <v>486</v>
      </c>
      <c r="N400" s="2" t="s">
        <v>481</v>
      </c>
      <c r="O400">
        <v>77</v>
      </c>
      <c r="Q400">
        <v>230</v>
      </c>
      <c r="R400" t="s">
        <v>18</v>
      </c>
      <c r="S400">
        <v>307</v>
      </c>
      <c r="T400" t="s">
        <v>618</v>
      </c>
    </row>
    <row r="401" spans="1:20" ht="30" x14ac:dyDescent="0.25">
      <c r="A401">
        <v>399</v>
      </c>
      <c r="B401" t="s">
        <v>450</v>
      </c>
      <c r="C401">
        <v>95134</v>
      </c>
      <c r="D401" t="str">
        <f>"101-29-011"</f>
        <v>101-29-011</v>
      </c>
      <c r="E401" t="s">
        <v>16</v>
      </c>
      <c r="F401" t="s">
        <v>16</v>
      </c>
      <c r="G401">
        <v>0</v>
      </c>
      <c r="H401">
        <v>0</v>
      </c>
      <c r="I401" s="1">
        <v>5.4068996102998002</v>
      </c>
      <c r="J401" s="24" t="s">
        <v>65</v>
      </c>
      <c r="K401" t="s">
        <v>484</v>
      </c>
      <c r="L401" t="s">
        <v>485</v>
      </c>
      <c r="M401" t="s">
        <v>486</v>
      </c>
      <c r="N401" s="2" t="s">
        <v>481</v>
      </c>
      <c r="O401">
        <v>102</v>
      </c>
      <c r="Q401">
        <v>304</v>
      </c>
      <c r="R401" t="s">
        <v>18</v>
      </c>
      <c r="S401">
        <v>406</v>
      </c>
      <c r="T401" t="s">
        <v>618</v>
      </c>
    </row>
    <row r="402" spans="1:20" x14ac:dyDescent="0.25">
      <c r="A402">
        <v>400</v>
      </c>
      <c r="B402" t="s">
        <v>451</v>
      </c>
      <c r="C402">
        <v>95134</v>
      </c>
      <c r="D402" t="str">
        <f>"101-29-006"</f>
        <v>101-29-006</v>
      </c>
      <c r="E402" t="s">
        <v>16</v>
      </c>
      <c r="F402" t="s">
        <v>16</v>
      </c>
      <c r="G402">
        <v>0</v>
      </c>
      <c r="H402">
        <v>0</v>
      </c>
      <c r="I402" s="1">
        <v>6.4636064969631297</v>
      </c>
      <c r="J402" s="24" t="s">
        <v>14</v>
      </c>
      <c r="K402" t="s">
        <v>484</v>
      </c>
      <c r="L402" t="s">
        <v>485</v>
      </c>
      <c r="M402" t="s">
        <v>486</v>
      </c>
      <c r="N402" s="2" t="s">
        <v>481</v>
      </c>
      <c r="O402">
        <v>160</v>
      </c>
      <c r="Q402">
        <v>481</v>
      </c>
      <c r="R402" t="s">
        <v>18</v>
      </c>
      <c r="S402">
        <v>641</v>
      </c>
      <c r="T402" t="s">
        <v>618</v>
      </c>
    </row>
    <row r="403" spans="1:20" ht="30" x14ac:dyDescent="0.25">
      <c r="A403">
        <v>401</v>
      </c>
      <c r="B403" t="s">
        <v>452</v>
      </c>
      <c r="C403">
        <v>95134</v>
      </c>
      <c r="D403" t="str">
        <f>"101-29-010"</f>
        <v>101-29-010</v>
      </c>
      <c r="E403" t="s">
        <v>16</v>
      </c>
      <c r="F403" t="s">
        <v>16</v>
      </c>
      <c r="G403">
        <v>0</v>
      </c>
      <c r="H403">
        <v>0</v>
      </c>
      <c r="I403" s="1">
        <v>6.3197680188727103</v>
      </c>
      <c r="J403" s="24" t="s">
        <v>65</v>
      </c>
      <c r="K403" t="s">
        <v>484</v>
      </c>
      <c r="L403" t="s">
        <v>485</v>
      </c>
      <c r="M403" t="s">
        <v>486</v>
      </c>
      <c r="N403" s="2" t="s">
        <v>481</v>
      </c>
      <c r="O403">
        <v>118</v>
      </c>
      <c r="Q403">
        <v>356</v>
      </c>
      <c r="R403" t="s">
        <v>18</v>
      </c>
      <c r="S403">
        <v>474</v>
      </c>
      <c r="T403" t="s">
        <v>618</v>
      </c>
    </row>
    <row r="404" spans="1:20" x14ac:dyDescent="0.25">
      <c r="A404">
        <v>402</v>
      </c>
      <c r="B404" t="s">
        <v>453</v>
      </c>
      <c r="C404">
        <v>95134</v>
      </c>
      <c r="D404" t="str">
        <f>"101-29-013"</f>
        <v>101-29-013</v>
      </c>
      <c r="E404" t="s">
        <v>16</v>
      </c>
      <c r="F404" t="s">
        <v>16</v>
      </c>
      <c r="G404">
        <v>0</v>
      </c>
      <c r="H404">
        <v>0</v>
      </c>
      <c r="I404" s="1">
        <v>4.4280733288358496</v>
      </c>
      <c r="J404" s="24" t="s">
        <v>60</v>
      </c>
      <c r="K404" t="s">
        <v>484</v>
      </c>
      <c r="L404" t="s">
        <v>485</v>
      </c>
      <c r="M404" t="s">
        <v>486</v>
      </c>
      <c r="N404" s="2" t="s">
        <v>481</v>
      </c>
      <c r="O404">
        <v>83</v>
      </c>
      <c r="Q404">
        <v>249</v>
      </c>
      <c r="R404" t="s">
        <v>18</v>
      </c>
      <c r="S404">
        <v>332</v>
      </c>
      <c r="T404" t="s">
        <v>618</v>
      </c>
    </row>
    <row r="405" spans="1:20" x14ac:dyDescent="0.25">
      <c r="A405">
        <v>403</v>
      </c>
      <c r="B405" t="s">
        <v>454</v>
      </c>
      <c r="C405">
        <v>95125</v>
      </c>
      <c r="D405" t="str">
        <f>"439-26-057"</f>
        <v>439-26-057</v>
      </c>
      <c r="E405" t="s">
        <v>6</v>
      </c>
      <c r="F405" t="s">
        <v>33</v>
      </c>
      <c r="G405">
        <v>0</v>
      </c>
      <c r="H405">
        <v>0</v>
      </c>
      <c r="I405" s="1">
        <v>0.672812782580411</v>
      </c>
      <c r="J405" s="24" t="s">
        <v>12</v>
      </c>
      <c r="K405" t="s">
        <v>484</v>
      </c>
      <c r="L405" t="s">
        <v>485</v>
      </c>
      <c r="M405" t="s">
        <v>486</v>
      </c>
      <c r="N405" s="2" t="s">
        <v>481</v>
      </c>
      <c r="O405">
        <f>S405</f>
        <v>50</v>
      </c>
      <c r="R405" t="s">
        <v>9</v>
      </c>
      <c r="S405">
        <v>50</v>
      </c>
      <c r="T405" s="3" t="s">
        <v>487</v>
      </c>
    </row>
    <row r="406" spans="1:20" x14ac:dyDescent="0.25">
      <c r="A406">
        <v>404</v>
      </c>
      <c r="B406" t="s">
        <v>455</v>
      </c>
      <c r="C406">
        <v>95118</v>
      </c>
      <c r="D406" t="str">
        <f>"439-42-097"</f>
        <v>439-42-097</v>
      </c>
      <c r="E406" t="s">
        <v>6</v>
      </c>
      <c r="F406" t="s">
        <v>33</v>
      </c>
      <c r="G406">
        <v>0</v>
      </c>
      <c r="H406">
        <v>0</v>
      </c>
      <c r="I406" s="1">
        <v>1.2280654839371801</v>
      </c>
      <c r="J406" s="24" t="s">
        <v>14</v>
      </c>
      <c r="K406" t="s">
        <v>484</v>
      </c>
      <c r="L406" t="s">
        <v>485</v>
      </c>
      <c r="M406" t="s">
        <v>486</v>
      </c>
      <c r="N406" s="2" t="s">
        <v>481</v>
      </c>
      <c r="O406">
        <f>S406</f>
        <v>99</v>
      </c>
      <c r="R406" t="s">
        <v>9</v>
      </c>
      <c r="S406">
        <v>99</v>
      </c>
      <c r="T406" s="3" t="s">
        <v>487</v>
      </c>
    </row>
    <row r="407" spans="1:20" x14ac:dyDescent="0.25">
      <c r="A407">
        <v>405</v>
      </c>
      <c r="B407" t="s">
        <v>456</v>
      </c>
      <c r="C407">
        <v>95125</v>
      </c>
      <c r="D407" t="str">
        <f>"439-48-039"</f>
        <v>439-48-039</v>
      </c>
      <c r="E407" t="s">
        <v>6</v>
      </c>
      <c r="F407" t="s">
        <v>33</v>
      </c>
      <c r="G407">
        <v>0</v>
      </c>
      <c r="H407">
        <v>0</v>
      </c>
      <c r="I407" s="1">
        <v>1.5345740903127401</v>
      </c>
      <c r="J407" s="24" t="s">
        <v>12</v>
      </c>
      <c r="K407" t="s">
        <v>484</v>
      </c>
      <c r="L407" t="s">
        <v>485</v>
      </c>
      <c r="M407" t="s">
        <v>486</v>
      </c>
      <c r="N407" s="2" t="s">
        <v>481</v>
      </c>
      <c r="O407">
        <f>S407</f>
        <v>120</v>
      </c>
      <c r="R407" t="s">
        <v>9</v>
      </c>
      <c r="S407">
        <v>120</v>
      </c>
      <c r="T407" t="s">
        <v>488</v>
      </c>
    </row>
    <row r="408" spans="1:20" x14ac:dyDescent="0.25">
      <c r="A408">
        <v>406</v>
      </c>
      <c r="B408" t="s">
        <v>457</v>
      </c>
      <c r="C408">
        <v>95125</v>
      </c>
      <c r="D408" t="str">
        <f>"439-50-061"</f>
        <v>439-50-061</v>
      </c>
      <c r="E408" t="s">
        <v>6</v>
      </c>
      <c r="F408" t="s">
        <v>33</v>
      </c>
      <c r="G408">
        <v>0</v>
      </c>
      <c r="H408">
        <v>0</v>
      </c>
      <c r="I408" s="1">
        <v>0.76653872738436102</v>
      </c>
      <c r="J408" s="24" t="s">
        <v>12</v>
      </c>
      <c r="K408" t="s">
        <v>484</v>
      </c>
      <c r="L408" t="s">
        <v>485</v>
      </c>
      <c r="M408" t="s">
        <v>486</v>
      </c>
      <c r="N408" s="2" t="s">
        <v>481</v>
      </c>
      <c r="O408">
        <f>S408</f>
        <v>58</v>
      </c>
      <c r="R408" t="s">
        <v>9</v>
      </c>
      <c r="S408">
        <v>58</v>
      </c>
      <c r="T408" s="3" t="s">
        <v>487</v>
      </c>
    </row>
    <row r="409" spans="1:20" x14ac:dyDescent="0.25">
      <c r="A409">
        <v>407</v>
      </c>
      <c r="B409" t="s">
        <v>458</v>
      </c>
      <c r="C409">
        <v>95134</v>
      </c>
      <c r="D409" t="str">
        <f>"101-29-012"</f>
        <v>101-29-012</v>
      </c>
      <c r="E409" t="s">
        <v>16</v>
      </c>
      <c r="F409" t="s">
        <v>16</v>
      </c>
      <c r="G409">
        <v>0</v>
      </c>
      <c r="H409">
        <v>0</v>
      </c>
      <c r="I409" s="1">
        <v>3.5277007660989601</v>
      </c>
      <c r="J409" s="24" t="s">
        <v>60</v>
      </c>
      <c r="K409" t="s">
        <v>484</v>
      </c>
      <c r="L409" t="s">
        <v>485</v>
      </c>
      <c r="M409" t="s">
        <v>486</v>
      </c>
      <c r="N409" s="2" t="s">
        <v>481</v>
      </c>
      <c r="O409">
        <v>72</v>
      </c>
      <c r="Q409">
        <v>216</v>
      </c>
      <c r="R409" t="s">
        <v>18</v>
      </c>
      <c r="S409">
        <v>288</v>
      </c>
      <c r="T409" t="s">
        <v>618</v>
      </c>
    </row>
    <row r="410" spans="1:20" x14ac:dyDescent="0.25">
      <c r="A410">
        <v>408</v>
      </c>
      <c r="B410" t="s">
        <v>459</v>
      </c>
      <c r="C410">
        <v>95125</v>
      </c>
      <c r="D410" t="str">
        <f>"456-09-016"</f>
        <v>456-09-016</v>
      </c>
      <c r="E410" t="s">
        <v>64</v>
      </c>
      <c r="F410" t="s">
        <v>64</v>
      </c>
      <c r="G410">
        <v>30</v>
      </c>
      <c r="H410">
        <v>95</v>
      </c>
      <c r="I410" s="1">
        <v>4.9468777813201603</v>
      </c>
      <c r="J410" s="24" t="s">
        <v>17</v>
      </c>
      <c r="K410" t="s">
        <v>484</v>
      </c>
      <c r="L410" t="s">
        <v>489</v>
      </c>
      <c r="M410" t="s">
        <v>486</v>
      </c>
      <c r="N410" t="s">
        <v>483</v>
      </c>
      <c r="O410">
        <f>S410</f>
        <v>358</v>
      </c>
      <c r="R410" t="s">
        <v>9</v>
      </c>
      <c r="S410">
        <v>358</v>
      </c>
    </row>
    <row r="411" spans="1:20" x14ac:dyDescent="0.25">
      <c r="A411">
        <v>409</v>
      </c>
      <c r="B411" t="s">
        <v>94</v>
      </c>
      <c r="C411">
        <v>95126</v>
      </c>
      <c r="D411" t="str">
        <f>"264-16-028"</f>
        <v>264-16-028</v>
      </c>
      <c r="E411" t="s">
        <v>64</v>
      </c>
      <c r="F411" t="s">
        <v>64</v>
      </c>
      <c r="G411">
        <v>30</v>
      </c>
      <c r="H411">
        <v>95</v>
      </c>
      <c r="I411" s="1">
        <v>0.117371805431586</v>
      </c>
      <c r="J411" s="24" t="s">
        <v>17</v>
      </c>
      <c r="K411" t="s">
        <v>484</v>
      </c>
      <c r="L411" t="s">
        <v>485</v>
      </c>
      <c r="M411" t="s">
        <v>486</v>
      </c>
      <c r="P411">
        <f>S411</f>
        <v>7</v>
      </c>
      <c r="R411" t="s">
        <v>25</v>
      </c>
      <c r="S411">
        <v>7</v>
      </c>
    </row>
    <row r="412" spans="1:20" x14ac:dyDescent="0.25">
      <c r="A412">
        <v>410</v>
      </c>
      <c r="B412" t="s">
        <v>94</v>
      </c>
      <c r="C412">
        <v>95136</v>
      </c>
      <c r="D412" t="str">
        <f>"458-11-020"</f>
        <v>458-11-020</v>
      </c>
      <c r="E412" t="s">
        <v>244</v>
      </c>
      <c r="F412" t="s">
        <v>244</v>
      </c>
      <c r="G412">
        <v>50</v>
      </c>
      <c r="H412">
        <v>250</v>
      </c>
      <c r="I412" s="1">
        <v>3.8900784963557302</v>
      </c>
      <c r="J412" s="24" t="s">
        <v>251</v>
      </c>
      <c r="K412" t="s">
        <v>484</v>
      </c>
      <c r="L412" t="s">
        <v>485</v>
      </c>
      <c r="M412" t="s">
        <v>486</v>
      </c>
      <c r="N412" s="2" t="s">
        <v>481</v>
      </c>
      <c r="O412">
        <v>181</v>
      </c>
      <c r="Q412">
        <v>181</v>
      </c>
      <c r="R412" t="s">
        <v>18</v>
      </c>
      <c r="S412">
        <v>362</v>
      </c>
    </row>
    <row r="413" spans="1:20" x14ac:dyDescent="0.25">
      <c r="A413">
        <v>411</v>
      </c>
      <c r="B413" t="s">
        <v>94</v>
      </c>
      <c r="C413">
        <v>95110</v>
      </c>
      <c r="D413" t="str">
        <f>"259-30-106"</f>
        <v>259-30-106</v>
      </c>
      <c r="E413" t="s">
        <v>23</v>
      </c>
      <c r="F413" t="s">
        <v>56</v>
      </c>
      <c r="G413">
        <v>0</v>
      </c>
      <c r="H413">
        <v>800</v>
      </c>
      <c r="I413" s="1">
        <v>6.2151806185352702E-2</v>
      </c>
      <c r="J413" s="24" t="s">
        <v>17</v>
      </c>
      <c r="K413" t="s">
        <v>484</v>
      </c>
      <c r="L413" t="s">
        <v>485</v>
      </c>
      <c r="M413" t="s">
        <v>486</v>
      </c>
      <c r="P413">
        <f>S413</f>
        <v>24</v>
      </c>
      <c r="R413" t="s">
        <v>25</v>
      </c>
      <c r="S413">
        <v>24</v>
      </c>
    </row>
    <row r="414" spans="1:20" x14ac:dyDescent="0.25">
      <c r="A414">
        <v>412</v>
      </c>
      <c r="B414" t="s">
        <v>94</v>
      </c>
      <c r="C414">
        <v>95110</v>
      </c>
      <c r="D414" t="str">
        <f>"259-47-074"</f>
        <v>259-47-074</v>
      </c>
      <c r="E414" t="s">
        <v>23</v>
      </c>
      <c r="F414" t="s">
        <v>56</v>
      </c>
      <c r="G414">
        <v>0</v>
      </c>
      <c r="H414">
        <v>800</v>
      </c>
      <c r="I414" s="1">
        <v>5.4892210094377898E-2</v>
      </c>
      <c r="J414" s="24" t="s">
        <v>17</v>
      </c>
      <c r="K414" t="s">
        <v>484</v>
      </c>
      <c r="L414" t="s">
        <v>485</v>
      </c>
      <c r="M414" t="s">
        <v>486</v>
      </c>
      <c r="P414">
        <f>S414</f>
        <v>10</v>
      </c>
      <c r="R414" t="s">
        <v>25</v>
      </c>
      <c r="S414">
        <v>10</v>
      </c>
    </row>
    <row r="415" spans="1:20" x14ac:dyDescent="0.25">
      <c r="A415">
        <v>413</v>
      </c>
      <c r="B415" t="s">
        <v>94</v>
      </c>
      <c r="C415">
        <v>95133</v>
      </c>
      <c r="D415" t="str">
        <f>"254-29-026"</f>
        <v>254-29-026</v>
      </c>
      <c r="E415" t="s">
        <v>244</v>
      </c>
      <c r="F415" t="s">
        <v>244</v>
      </c>
      <c r="G415">
        <v>50</v>
      </c>
      <c r="H415">
        <v>250</v>
      </c>
      <c r="I415" s="1">
        <v>1.35459819662618</v>
      </c>
      <c r="J415" s="24" t="s">
        <v>440</v>
      </c>
      <c r="K415" t="s">
        <v>484</v>
      </c>
      <c r="L415" t="s">
        <v>485</v>
      </c>
      <c r="M415" t="s">
        <v>486</v>
      </c>
      <c r="N415" t="s">
        <v>483</v>
      </c>
      <c r="O415">
        <f>S415</f>
        <v>157</v>
      </c>
      <c r="R415" t="s">
        <v>9</v>
      </c>
      <c r="S415">
        <v>157</v>
      </c>
    </row>
    <row r="416" spans="1:20" x14ac:dyDescent="0.25">
      <c r="A416">
        <v>414</v>
      </c>
      <c r="B416" t="s">
        <v>94</v>
      </c>
      <c r="C416">
        <v>95110</v>
      </c>
      <c r="D416" t="str">
        <f>"259-25-041"</f>
        <v>259-25-041</v>
      </c>
      <c r="E416" t="s">
        <v>23</v>
      </c>
      <c r="F416" t="s">
        <v>56</v>
      </c>
      <c r="G416">
        <v>0</v>
      </c>
      <c r="H416">
        <v>800</v>
      </c>
      <c r="I416" s="1">
        <v>0.189051970978759</v>
      </c>
      <c r="J416" s="24" t="s">
        <v>17</v>
      </c>
      <c r="K416" t="s">
        <v>484</v>
      </c>
      <c r="L416" t="s">
        <v>485</v>
      </c>
      <c r="M416" t="s">
        <v>486</v>
      </c>
      <c r="P416">
        <f>S416</f>
        <v>29</v>
      </c>
      <c r="R416" t="s">
        <v>25</v>
      </c>
      <c r="S416">
        <v>29</v>
      </c>
    </row>
    <row r="417" spans="1:20" x14ac:dyDescent="0.25">
      <c r="A417">
        <v>415</v>
      </c>
      <c r="B417" t="s">
        <v>94</v>
      </c>
      <c r="C417">
        <v>95125</v>
      </c>
      <c r="D417" t="str">
        <f>"429-17-036"</f>
        <v>429-17-036</v>
      </c>
      <c r="E417" t="s">
        <v>6</v>
      </c>
      <c r="F417" t="s">
        <v>33</v>
      </c>
      <c r="G417">
        <v>0</v>
      </c>
      <c r="H417">
        <v>0</v>
      </c>
      <c r="I417" s="1">
        <v>0.84971267131477302</v>
      </c>
      <c r="J417" s="24" t="s">
        <v>79</v>
      </c>
      <c r="K417" t="s">
        <v>484</v>
      </c>
      <c r="L417" t="s">
        <v>485</v>
      </c>
      <c r="M417" t="s">
        <v>486</v>
      </c>
      <c r="N417" s="2" t="s">
        <v>481</v>
      </c>
      <c r="O417">
        <f>S417</f>
        <v>59</v>
      </c>
      <c r="R417" t="s">
        <v>9</v>
      </c>
      <c r="S417">
        <v>59</v>
      </c>
    </row>
    <row r="418" spans="1:20" x14ac:dyDescent="0.25">
      <c r="A418">
        <v>416</v>
      </c>
      <c r="B418" t="s">
        <v>94</v>
      </c>
      <c r="C418">
        <v>95112</v>
      </c>
      <c r="D418" t="str">
        <f>"472-18-058"</f>
        <v>472-18-058</v>
      </c>
      <c r="E418" t="s">
        <v>244</v>
      </c>
      <c r="F418" t="s">
        <v>244</v>
      </c>
      <c r="G418">
        <v>50</v>
      </c>
      <c r="H418">
        <v>250</v>
      </c>
      <c r="I418" s="1">
        <v>0.85588835646629202</v>
      </c>
      <c r="J418" s="24" t="s">
        <v>14</v>
      </c>
      <c r="K418" t="s">
        <v>484</v>
      </c>
      <c r="L418" t="s">
        <v>485</v>
      </c>
      <c r="M418" t="s">
        <v>486</v>
      </c>
      <c r="P418">
        <f>S418</f>
        <v>99</v>
      </c>
      <c r="R418" t="s">
        <v>25</v>
      </c>
      <c r="S418">
        <v>99</v>
      </c>
    </row>
    <row r="419" spans="1:20" x14ac:dyDescent="0.25">
      <c r="A419">
        <v>417</v>
      </c>
      <c r="B419" t="s">
        <v>460</v>
      </c>
      <c r="C419">
        <v>95123</v>
      </c>
      <c r="D419" t="str">
        <f>"464-14-023"</f>
        <v>464-14-023</v>
      </c>
      <c r="E419" t="s">
        <v>6</v>
      </c>
      <c r="F419" t="s">
        <v>33</v>
      </c>
      <c r="G419">
        <v>0</v>
      </c>
      <c r="H419">
        <v>0</v>
      </c>
      <c r="I419" s="1">
        <v>1.2222116894908599</v>
      </c>
      <c r="J419" s="24" t="s">
        <v>12</v>
      </c>
      <c r="K419" t="s">
        <v>484</v>
      </c>
      <c r="L419" t="s">
        <v>485</v>
      </c>
      <c r="M419" t="s">
        <v>486</v>
      </c>
      <c r="N419" s="2" t="s">
        <v>481</v>
      </c>
      <c r="O419">
        <f>S419</f>
        <v>110</v>
      </c>
      <c r="R419" t="s">
        <v>9</v>
      </c>
      <c r="S419">
        <v>110</v>
      </c>
      <c r="T419" t="s">
        <v>488</v>
      </c>
    </row>
    <row r="420" spans="1:20" x14ac:dyDescent="0.25">
      <c r="A420">
        <v>418</v>
      </c>
      <c r="B420" t="s">
        <v>94</v>
      </c>
      <c r="C420">
        <v>95116</v>
      </c>
      <c r="D420" t="str">
        <f>"484-41-164"</f>
        <v>484-41-164</v>
      </c>
      <c r="E420" t="s">
        <v>6</v>
      </c>
      <c r="F420" t="s">
        <v>33</v>
      </c>
      <c r="G420">
        <v>0</v>
      </c>
      <c r="H420">
        <v>0</v>
      </c>
      <c r="I420" s="1">
        <v>0.61246371799146904</v>
      </c>
      <c r="J420" s="24" t="s">
        <v>14</v>
      </c>
      <c r="K420" t="s">
        <v>484</v>
      </c>
      <c r="L420" t="s">
        <v>485</v>
      </c>
      <c r="M420" t="s">
        <v>486</v>
      </c>
      <c r="N420" s="2" t="s">
        <v>481</v>
      </c>
      <c r="O420">
        <f>S420</f>
        <v>40</v>
      </c>
      <c r="R420" t="s">
        <v>9</v>
      </c>
      <c r="S420">
        <v>40</v>
      </c>
      <c r="T420" s="3" t="s">
        <v>487</v>
      </c>
    </row>
    <row r="421" spans="1:20" ht="30" x14ac:dyDescent="0.25">
      <c r="A421">
        <v>419</v>
      </c>
      <c r="B421" t="s">
        <v>94</v>
      </c>
      <c r="C421">
        <v>95125</v>
      </c>
      <c r="D421" t="str">
        <f>"456-10-023"</f>
        <v>456-10-023</v>
      </c>
      <c r="E421" t="s">
        <v>64</v>
      </c>
      <c r="F421" t="s">
        <v>64</v>
      </c>
      <c r="G421">
        <v>30</v>
      </c>
      <c r="H421">
        <v>95</v>
      </c>
      <c r="I421" s="1">
        <v>0.78267285363293504</v>
      </c>
      <c r="J421" s="24" t="s">
        <v>65</v>
      </c>
      <c r="K421" t="s">
        <v>484</v>
      </c>
      <c r="L421" t="s">
        <v>485</v>
      </c>
      <c r="M421" t="s">
        <v>486</v>
      </c>
      <c r="N421" s="2" t="s">
        <v>481</v>
      </c>
      <c r="O421">
        <f>S421</f>
        <v>69</v>
      </c>
      <c r="R421" t="s">
        <v>9</v>
      </c>
      <c r="S421">
        <v>69</v>
      </c>
    </row>
    <row r="422" spans="1:20" x14ac:dyDescent="0.25">
      <c r="A422">
        <v>420</v>
      </c>
      <c r="B422" t="s">
        <v>94</v>
      </c>
      <c r="C422">
        <v>95128</v>
      </c>
      <c r="D422" t="str">
        <f>"279-27-001"</f>
        <v>279-27-001</v>
      </c>
      <c r="E422" t="s">
        <v>64</v>
      </c>
      <c r="F422" t="s">
        <v>64</v>
      </c>
      <c r="G422">
        <v>45</v>
      </c>
      <c r="H422">
        <v>95</v>
      </c>
      <c r="I422" s="1">
        <v>0.198946101434269</v>
      </c>
      <c r="J422" s="24" t="s">
        <v>14</v>
      </c>
      <c r="K422" t="s">
        <v>484</v>
      </c>
      <c r="L422" t="s">
        <v>485</v>
      </c>
      <c r="M422" t="s">
        <v>486</v>
      </c>
      <c r="P422">
        <f>S422</f>
        <v>9</v>
      </c>
      <c r="R422" t="s">
        <v>25</v>
      </c>
      <c r="S422">
        <v>9</v>
      </c>
    </row>
    <row r="423" spans="1:20" ht="30" x14ac:dyDescent="0.25">
      <c r="A423">
        <v>421</v>
      </c>
      <c r="B423" t="s">
        <v>94</v>
      </c>
      <c r="C423">
        <v>95133</v>
      </c>
      <c r="D423" t="str">
        <f>"254-17-113"</f>
        <v>254-17-113</v>
      </c>
      <c r="E423" t="s">
        <v>11</v>
      </c>
      <c r="F423" t="s">
        <v>11</v>
      </c>
      <c r="G423">
        <v>75</v>
      </c>
      <c r="H423">
        <v>300</v>
      </c>
      <c r="I423" s="1">
        <v>3.2360151341522698</v>
      </c>
      <c r="J423" s="24" t="s">
        <v>65</v>
      </c>
      <c r="K423" t="s">
        <v>484</v>
      </c>
      <c r="L423" t="s">
        <v>485</v>
      </c>
      <c r="M423" t="s">
        <v>486</v>
      </c>
      <c r="N423" s="2" t="s">
        <v>481</v>
      </c>
      <c r="O423">
        <v>160</v>
      </c>
      <c r="Q423">
        <v>69</v>
      </c>
      <c r="R423" t="s">
        <v>18</v>
      </c>
      <c r="S423">
        <v>229</v>
      </c>
    </row>
    <row r="424" spans="1:20" x14ac:dyDescent="0.25">
      <c r="A424">
        <v>422</v>
      </c>
      <c r="B424" t="s">
        <v>94</v>
      </c>
      <c r="C424">
        <v>95116</v>
      </c>
      <c r="D424" t="str">
        <f>"467-08-002"</f>
        <v>467-08-002</v>
      </c>
      <c r="E424" t="s">
        <v>11</v>
      </c>
      <c r="F424" t="s">
        <v>11</v>
      </c>
      <c r="G424">
        <v>0</v>
      </c>
      <c r="H424">
        <v>250</v>
      </c>
      <c r="I424" s="1">
        <v>1.5728589522623599</v>
      </c>
      <c r="J424" s="24" t="s">
        <v>461</v>
      </c>
      <c r="K424" t="s">
        <v>484</v>
      </c>
      <c r="L424" t="s">
        <v>485</v>
      </c>
      <c r="M424" t="s">
        <v>486</v>
      </c>
      <c r="P424">
        <f>S424</f>
        <v>86</v>
      </c>
      <c r="R424" t="s">
        <v>25</v>
      </c>
      <c r="S424">
        <v>86</v>
      </c>
    </row>
    <row r="425" spans="1:20" x14ac:dyDescent="0.25">
      <c r="A425">
        <v>423</v>
      </c>
      <c r="B425" t="s">
        <v>94</v>
      </c>
      <c r="C425">
        <v>95134</v>
      </c>
      <c r="D425" t="str">
        <f>"097-07-091"</f>
        <v>097-07-091</v>
      </c>
      <c r="E425" t="s">
        <v>59</v>
      </c>
      <c r="F425" t="s">
        <v>59</v>
      </c>
      <c r="G425">
        <v>0</v>
      </c>
      <c r="H425">
        <v>0</v>
      </c>
      <c r="I425" s="1">
        <v>1.77267767084619</v>
      </c>
      <c r="J425" s="24" t="s">
        <v>60</v>
      </c>
      <c r="K425" t="s">
        <v>484</v>
      </c>
      <c r="L425" t="s">
        <v>485</v>
      </c>
      <c r="M425" t="s">
        <v>486</v>
      </c>
      <c r="Q425">
        <f>S425</f>
        <v>133</v>
      </c>
      <c r="R425" t="s">
        <v>34</v>
      </c>
      <c r="S425">
        <v>133</v>
      </c>
      <c r="T425" t="s">
        <v>620</v>
      </c>
    </row>
    <row r="426" spans="1:20" x14ac:dyDescent="0.25">
      <c r="A426">
        <v>424</v>
      </c>
      <c r="B426" t="s">
        <v>94</v>
      </c>
      <c r="C426">
        <v>95125</v>
      </c>
      <c r="D426" t="str">
        <f>"456-10-005"</f>
        <v>456-10-005</v>
      </c>
      <c r="E426" t="s">
        <v>64</v>
      </c>
      <c r="F426" t="s">
        <v>64</v>
      </c>
      <c r="G426">
        <v>30</v>
      </c>
      <c r="H426">
        <v>95</v>
      </c>
      <c r="I426" s="1">
        <v>1.7372924849126301</v>
      </c>
      <c r="J426" s="24" t="s">
        <v>79</v>
      </c>
      <c r="K426" t="s">
        <v>484</v>
      </c>
      <c r="L426" t="s">
        <v>485</v>
      </c>
      <c r="M426" t="s">
        <v>486</v>
      </c>
      <c r="Q426">
        <f>S426</f>
        <v>153</v>
      </c>
      <c r="R426" t="s">
        <v>34</v>
      </c>
      <c r="S426">
        <v>153</v>
      </c>
    </row>
    <row r="427" spans="1:20" x14ac:dyDescent="0.25">
      <c r="A427">
        <v>425</v>
      </c>
      <c r="B427" t="s">
        <v>94</v>
      </c>
      <c r="C427">
        <v>95110</v>
      </c>
      <c r="D427" t="str">
        <f>"259-23-024"</f>
        <v>259-23-024</v>
      </c>
      <c r="E427" t="s">
        <v>23</v>
      </c>
      <c r="F427" t="s">
        <v>56</v>
      </c>
      <c r="G427">
        <v>0</v>
      </c>
      <c r="H427">
        <v>800</v>
      </c>
      <c r="I427" s="1">
        <v>9.5123545761168895</v>
      </c>
      <c r="J427" s="24" t="s">
        <v>17</v>
      </c>
      <c r="K427" t="s">
        <v>484</v>
      </c>
      <c r="L427" t="s">
        <v>485</v>
      </c>
      <c r="M427" t="s">
        <v>486</v>
      </c>
      <c r="Q427">
        <f>S427</f>
        <v>919</v>
      </c>
      <c r="R427" t="s">
        <v>34</v>
      </c>
      <c r="S427">
        <v>919</v>
      </c>
    </row>
    <row r="428" spans="1:20" x14ac:dyDescent="0.25">
      <c r="A428">
        <v>426</v>
      </c>
      <c r="B428" t="s">
        <v>94</v>
      </c>
      <c r="C428">
        <v>95123</v>
      </c>
      <c r="D428" t="str">
        <f>"692-26-049"</f>
        <v>692-26-049</v>
      </c>
      <c r="E428" t="s">
        <v>6</v>
      </c>
      <c r="F428" t="s">
        <v>33</v>
      </c>
      <c r="G428">
        <v>0</v>
      </c>
      <c r="H428">
        <v>0</v>
      </c>
      <c r="I428" s="1">
        <v>0.58250001047784195</v>
      </c>
      <c r="J428" s="24" t="s">
        <v>17</v>
      </c>
      <c r="K428" t="s">
        <v>484</v>
      </c>
      <c r="L428" t="s">
        <v>485</v>
      </c>
      <c r="M428" t="s">
        <v>486</v>
      </c>
      <c r="N428" s="2" t="s">
        <v>481</v>
      </c>
      <c r="O428">
        <f>S428</f>
        <v>52</v>
      </c>
      <c r="R428" t="s">
        <v>9</v>
      </c>
      <c r="S428">
        <v>52</v>
      </c>
      <c r="T428" t="s">
        <v>488</v>
      </c>
    </row>
    <row r="429" spans="1:20" x14ac:dyDescent="0.25">
      <c r="A429">
        <v>427</v>
      </c>
      <c r="B429" t="s">
        <v>94</v>
      </c>
      <c r="C429">
        <v>95128</v>
      </c>
      <c r="D429" t="str">
        <f>"274-29-031"</f>
        <v>274-29-031</v>
      </c>
      <c r="E429" t="s">
        <v>6</v>
      </c>
      <c r="F429" t="s">
        <v>33</v>
      </c>
      <c r="G429">
        <v>0</v>
      </c>
      <c r="I429" s="1">
        <v>0.60232670032829505</v>
      </c>
      <c r="J429" s="24" t="s">
        <v>12</v>
      </c>
      <c r="K429" t="s">
        <v>484</v>
      </c>
      <c r="L429" t="s">
        <v>485</v>
      </c>
      <c r="M429" t="s">
        <v>486</v>
      </c>
      <c r="N429" s="2" t="s">
        <v>481</v>
      </c>
      <c r="O429">
        <f>S429</f>
        <v>46</v>
      </c>
      <c r="R429" t="s">
        <v>9</v>
      </c>
      <c r="S429">
        <v>46</v>
      </c>
      <c r="T429" s="3" t="s">
        <v>487</v>
      </c>
    </row>
    <row r="430" spans="1:20" x14ac:dyDescent="0.25">
      <c r="A430">
        <v>428</v>
      </c>
      <c r="B430" t="s">
        <v>94</v>
      </c>
      <c r="C430">
        <v>95110</v>
      </c>
      <c r="D430" t="str">
        <f>"259-31-077"</f>
        <v>259-31-077</v>
      </c>
      <c r="E430" t="s">
        <v>23</v>
      </c>
      <c r="F430" t="s">
        <v>56</v>
      </c>
      <c r="G430">
        <v>0</v>
      </c>
      <c r="H430">
        <v>800</v>
      </c>
      <c r="I430" s="1">
        <v>0.12452095222434301</v>
      </c>
      <c r="J430" s="24" t="s">
        <v>17</v>
      </c>
      <c r="K430" t="s">
        <v>484</v>
      </c>
      <c r="L430" t="s">
        <v>485</v>
      </c>
      <c r="M430" t="s">
        <v>486</v>
      </c>
      <c r="P430">
        <f>S430</f>
        <v>25</v>
      </c>
      <c r="R430" t="s">
        <v>25</v>
      </c>
      <c r="S430">
        <v>25</v>
      </c>
    </row>
    <row r="431" spans="1:20" x14ac:dyDescent="0.25">
      <c r="A431">
        <v>429</v>
      </c>
      <c r="B431" t="s">
        <v>94</v>
      </c>
      <c r="C431">
        <v>95126</v>
      </c>
      <c r="D431" t="str">
        <f>"261-12-084"</f>
        <v>261-12-084</v>
      </c>
      <c r="E431" t="s">
        <v>6</v>
      </c>
      <c r="F431" t="s">
        <v>33</v>
      </c>
      <c r="G431">
        <v>0</v>
      </c>
      <c r="H431">
        <v>0</v>
      </c>
      <c r="I431" s="1">
        <v>0.999415088418528</v>
      </c>
      <c r="J431" s="24" t="s">
        <v>17</v>
      </c>
      <c r="K431" t="s">
        <v>484</v>
      </c>
      <c r="L431" t="s">
        <v>485</v>
      </c>
      <c r="M431" t="s">
        <v>486</v>
      </c>
      <c r="N431" s="2" t="s">
        <v>481</v>
      </c>
      <c r="O431">
        <f>S431</f>
        <v>65</v>
      </c>
      <c r="R431" t="s">
        <v>9</v>
      </c>
      <c r="S431">
        <v>65</v>
      </c>
      <c r="T431" s="3" t="s">
        <v>487</v>
      </c>
    </row>
    <row r="432" spans="1:20" x14ac:dyDescent="0.25">
      <c r="A432">
        <v>430</v>
      </c>
      <c r="B432" t="s">
        <v>94</v>
      </c>
      <c r="C432">
        <v>95112</v>
      </c>
      <c r="D432" t="str">
        <f>"249-08-020"</f>
        <v>249-08-020</v>
      </c>
      <c r="E432" t="s">
        <v>42</v>
      </c>
      <c r="F432" t="s">
        <v>42</v>
      </c>
      <c r="G432">
        <v>0</v>
      </c>
      <c r="H432">
        <v>30</v>
      </c>
      <c r="I432" s="1">
        <v>0.54707572669120497</v>
      </c>
      <c r="J432" s="24" t="s">
        <v>12</v>
      </c>
      <c r="K432" t="s">
        <v>484</v>
      </c>
      <c r="L432" t="s">
        <v>485</v>
      </c>
      <c r="M432" t="s">
        <v>486</v>
      </c>
      <c r="P432">
        <f>S432</f>
        <v>12</v>
      </c>
      <c r="R432" t="s">
        <v>25</v>
      </c>
      <c r="S432">
        <v>12</v>
      </c>
    </row>
    <row r="433" spans="1:20" x14ac:dyDescent="0.25">
      <c r="A433">
        <v>431</v>
      </c>
      <c r="B433" t="s">
        <v>94</v>
      </c>
      <c r="C433">
        <v>95110</v>
      </c>
      <c r="D433" t="str">
        <f>"259-46-094"</f>
        <v>259-46-094</v>
      </c>
      <c r="E433" t="s">
        <v>23</v>
      </c>
      <c r="F433" t="s">
        <v>56</v>
      </c>
      <c r="G433">
        <v>0</v>
      </c>
      <c r="H433">
        <v>800</v>
      </c>
      <c r="I433" s="1">
        <v>7.9462035271573694E-2</v>
      </c>
      <c r="J433" s="24" t="s">
        <v>17</v>
      </c>
      <c r="K433" t="s">
        <v>484</v>
      </c>
      <c r="L433" t="s">
        <v>485</v>
      </c>
      <c r="M433" t="s">
        <v>486</v>
      </c>
      <c r="P433">
        <f>S433</f>
        <v>17</v>
      </c>
      <c r="R433" t="s">
        <v>25</v>
      </c>
      <c r="S433">
        <v>17</v>
      </c>
    </row>
    <row r="434" spans="1:20" x14ac:dyDescent="0.25">
      <c r="A434">
        <v>432</v>
      </c>
      <c r="B434" t="s">
        <v>94</v>
      </c>
      <c r="C434">
        <v>95133</v>
      </c>
      <c r="D434" t="str">
        <f>"254-29-027"</f>
        <v>254-29-027</v>
      </c>
      <c r="E434" t="s">
        <v>42</v>
      </c>
      <c r="F434" t="s">
        <v>42</v>
      </c>
      <c r="G434">
        <v>0</v>
      </c>
      <c r="H434">
        <v>30</v>
      </c>
      <c r="I434" s="1">
        <v>0.53735953526817004</v>
      </c>
      <c r="J434" s="24" t="s">
        <v>79</v>
      </c>
      <c r="K434" t="s">
        <v>484</v>
      </c>
      <c r="L434" t="s">
        <v>485</v>
      </c>
      <c r="M434" t="s">
        <v>486</v>
      </c>
      <c r="P434">
        <f>S434</f>
        <v>16</v>
      </c>
      <c r="R434" t="s">
        <v>25</v>
      </c>
      <c r="S434">
        <v>16</v>
      </c>
    </row>
    <row r="435" spans="1:20" x14ac:dyDescent="0.25">
      <c r="A435">
        <v>433</v>
      </c>
      <c r="B435" t="s">
        <v>94</v>
      </c>
      <c r="C435">
        <v>95113</v>
      </c>
      <c r="D435" t="str">
        <f>"467-46-015"</f>
        <v>467-46-015</v>
      </c>
      <c r="E435" t="s">
        <v>23</v>
      </c>
      <c r="F435" t="s">
        <v>56</v>
      </c>
      <c r="G435">
        <v>0</v>
      </c>
      <c r="H435">
        <v>800</v>
      </c>
      <c r="I435" s="1">
        <v>0.16023455466039899</v>
      </c>
      <c r="J435" s="24" t="s">
        <v>12</v>
      </c>
      <c r="K435" t="s">
        <v>484</v>
      </c>
      <c r="L435" t="s">
        <v>485</v>
      </c>
      <c r="M435" t="s">
        <v>486</v>
      </c>
      <c r="P435">
        <f>S435</f>
        <v>34</v>
      </c>
      <c r="R435" t="s">
        <v>25</v>
      </c>
      <c r="S435">
        <v>34</v>
      </c>
    </row>
    <row r="436" spans="1:20" x14ac:dyDescent="0.25">
      <c r="A436">
        <v>434</v>
      </c>
      <c r="B436" t="s">
        <v>94</v>
      </c>
      <c r="C436">
        <v>95126</v>
      </c>
      <c r="D436" t="str">
        <f>"264-06-011"</f>
        <v>264-06-011</v>
      </c>
      <c r="E436" t="s">
        <v>42</v>
      </c>
      <c r="F436" t="s">
        <v>42</v>
      </c>
      <c r="G436">
        <v>0</v>
      </c>
      <c r="H436">
        <v>30</v>
      </c>
      <c r="I436" s="1">
        <v>0.85886394954651801</v>
      </c>
      <c r="J436" s="24" t="s">
        <v>43</v>
      </c>
      <c r="K436" t="s">
        <v>484</v>
      </c>
      <c r="L436" t="s">
        <v>485</v>
      </c>
      <c r="M436" t="s">
        <v>486</v>
      </c>
      <c r="P436">
        <f>S436</f>
        <v>24</v>
      </c>
      <c r="R436" t="s">
        <v>25</v>
      </c>
      <c r="S436">
        <v>24</v>
      </c>
    </row>
    <row r="437" spans="1:20" x14ac:dyDescent="0.25">
      <c r="A437">
        <v>435</v>
      </c>
      <c r="B437" t="s">
        <v>94</v>
      </c>
      <c r="C437">
        <v>95123</v>
      </c>
      <c r="D437" t="str">
        <f>"692-26-048"</f>
        <v>692-26-048</v>
      </c>
      <c r="E437" t="s">
        <v>6</v>
      </c>
      <c r="F437" t="s">
        <v>33</v>
      </c>
      <c r="G437">
        <v>0</v>
      </c>
      <c r="H437">
        <v>0</v>
      </c>
      <c r="I437" s="1">
        <v>1.0574932522748399</v>
      </c>
      <c r="J437" s="24" t="s">
        <v>17</v>
      </c>
      <c r="K437" t="s">
        <v>484</v>
      </c>
      <c r="L437" t="s">
        <v>485</v>
      </c>
      <c r="M437" t="s">
        <v>486</v>
      </c>
      <c r="N437" s="2" t="s">
        <v>481</v>
      </c>
      <c r="O437">
        <f>S437</f>
        <v>87</v>
      </c>
      <c r="R437" t="s">
        <v>9</v>
      </c>
      <c r="S437">
        <v>87</v>
      </c>
      <c r="T437" t="s">
        <v>488</v>
      </c>
    </row>
    <row r="438" spans="1:20" x14ac:dyDescent="0.25">
      <c r="A438">
        <v>436</v>
      </c>
      <c r="B438" t="s">
        <v>94</v>
      </c>
      <c r="C438">
        <v>95126</v>
      </c>
      <c r="D438" t="str">
        <f>"261-39-036"</f>
        <v>261-39-036</v>
      </c>
      <c r="E438" t="s">
        <v>244</v>
      </c>
      <c r="F438" t="s">
        <v>244</v>
      </c>
      <c r="G438">
        <v>65</v>
      </c>
      <c r="H438">
        <v>450</v>
      </c>
      <c r="I438" s="1">
        <v>0.47387100047464198</v>
      </c>
      <c r="J438" s="24" t="s">
        <v>17</v>
      </c>
      <c r="K438" t="s">
        <v>484</v>
      </c>
      <c r="L438" t="s">
        <v>485</v>
      </c>
      <c r="M438" t="s">
        <v>486</v>
      </c>
      <c r="P438">
        <f>S438</f>
        <v>47</v>
      </c>
      <c r="R438" t="s">
        <v>25</v>
      </c>
      <c r="S438">
        <v>47</v>
      </c>
    </row>
    <row r="439" spans="1:20" x14ac:dyDescent="0.25">
      <c r="A439">
        <v>437</v>
      </c>
      <c r="B439" t="s">
        <v>94</v>
      </c>
      <c r="C439">
        <v>95136</v>
      </c>
      <c r="D439" t="str">
        <f>"459-05-032"</f>
        <v>459-05-032</v>
      </c>
      <c r="E439" t="s">
        <v>6</v>
      </c>
      <c r="F439" t="s">
        <v>33</v>
      </c>
      <c r="G439">
        <v>0</v>
      </c>
      <c r="H439">
        <v>0</v>
      </c>
      <c r="I439" s="1">
        <v>1.6935867499791699</v>
      </c>
      <c r="J439" s="24" t="s">
        <v>462</v>
      </c>
      <c r="K439" t="s">
        <v>484</v>
      </c>
      <c r="L439" t="s">
        <v>485</v>
      </c>
      <c r="M439" t="s">
        <v>486</v>
      </c>
      <c r="N439" s="2" t="s">
        <v>481</v>
      </c>
      <c r="O439">
        <f>S439</f>
        <v>133</v>
      </c>
      <c r="R439" t="s">
        <v>9</v>
      </c>
      <c r="S439">
        <v>133</v>
      </c>
      <c r="T439" t="s">
        <v>488</v>
      </c>
    </row>
    <row r="440" spans="1:20" x14ac:dyDescent="0.25">
      <c r="A440">
        <v>438</v>
      </c>
      <c r="B440" t="s">
        <v>94</v>
      </c>
      <c r="C440">
        <v>95134</v>
      </c>
      <c r="D440" t="str">
        <f>"097-07-063"</f>
        <v>097-07-063</v>
      </c>
      <c r="E440" t="s">
        <v>59</v>
      </c>
      <c r="F440" t="s">
        <v>424</v>
      </c>
      <c r="G440">
        <v>0</v>
      </c>
      <c r="H440">
        <v>0</v>
      </c>
      <c r="I440" s="1">
        <v>4.0985017261759999</v>
      </c>
      <c r="J440" s="24" t="s">
        <v>17</v>
      </c>
      <c r="K440" t="s">
        <v>484</v>
      </c>
      <c r="L440" t="s">
        <v>485</v>
      </c>
      <c r="M440" t="s">
        <v>486</v>
      </c>
      <c r="N440" s="2" t="s">
        <v>481</v>
      </c>
      <c r="O440">
        <f>S440</f>
        <v>307</v>
      </c>
      <c r="R440" t="s">
        <v>9</v>
      </c>
      <c r="S440">
        <v>307</v>
      </c>
      <c r="T440" t="s">
        <v>619</v>
      </c>
    </row>
    <row r="441" spans="1:20" x14ac:dyDescent="0.25">
      <c r="A441">
        <v>439</v>
      </c>
      <c r="B441" t="s">
        <v>94</v>
      </c>
      <c r="C441">
        <v>95110</v>
      </c>
      <c r="D441" t="str">
        <f>"261-34-011"</f>
        <v>261-34-011</v>
      </c>
      <c r="E441" t="s">
        <v>23</v>
      </c>
      <c r="F441" t="s">
        <v>24</v>
      </c>
      <c r="G441">
        <v>0</v>
      </c>
      <c r="H441">
        <v>800</v>
      </c>
      <c r="I441" s="1">
        <v>6.0254628323845302E-2</v>
      </c>
      <c r="J441" s="24" t="s">
        <v>79</v>
      </c>
      <c r="K441" t="s">
        <v>484</v>
      </c>
      <c r="L441" t="s">
        <v>485</v>
      </c>
      <c r="M441" t="s">
        <v>486</v>
      </c>
      <c r="Q441">
        <f>S441</f>
        <v>26</v>
      </c>
      <c r="R441" t="s">
        <v>34</v>
      </c>
      <c r="S441">
        <v>26</v>
      </c>
    </row>
    <row r="442" spans="1:20" x14ac:dyDescent="0.25">
      <c r="A442">
        <v>440</v>
      </c>
      <c r="B442" t="s">
        <v>94</v>
      </c>
      <c r="C442">
        <v>95135</v>
      </c>
      <c r="D442" t="str">
        <f>"659-84-096"</f>
        <v>659-84-096</v>
      </c>
      <c r="E442" t="s">
        <v>42</v>
      </c>
      <c r="F442" t="s">
        <v>42</v>
      </c>
      <c r="G442">
        <v>0</v>
      </c>
      <c r="H442">
        <v>30</v>
      </c>
      <c r="I442" s="1">
        <v>1.1229997439808801</v>
      </c>
      <c r="J442" s="24" t="s">
        <v>17</v>
      </c>
      <c r="K442" t="s">
        <v>484</v>
      </c>
      <c r="L442" t="s">
        <v>485</v>
      </c>
      <c r="M442" t="s">
        <v>486</v>
      </c>
      <c r="P442">
        <f>S442</f>
        <v>34</v>
      </c>
      <c r="R442" t="s">
        <v>25</v>
      </c>
      <c r="S442">
        <v>34</v>
      </c>
    </row>
    <row r="443" spans="1:20" x14ac:dyDescent="0.25">
      <c r="A443">
        <v>441</v>
      </c>
      <c r="B443" t="s">
        <v>94</v>
      </c>
      <c r="C443">
        <v>95131</v>
      </c>
      <c r="D443" t="str">
        <f>"245-39-029"</f>
        <v>245-39-029</v>
      </c>
      <c r="E443" t="s">
        <v>28</v>
      </c>
      <c r="F443" t="s">
        <v>68</v>
      </c>
      <c r="G443">
        <v>0</v>
      </c>
      <c r="H443">
        <v>8</v>
      </c>
      <c r="I443" s="1">
        <v>0.53311770027336802</v>
      </c>
      <c r="J443" s="24" t="s">
        <v>17</v>
      </c>
      <c r="K443" t="s">
        <v>484</v>
      </c>
      <c r="L443" t="s">
        <v>485</v>
      </c>
      <c r="M443" t="s">
        <v>486</v>
      </c>
      <c r="Q443">
        <f>S443</f>
        <v>4</v>
      </c>
      <c r="R443" t="s">
        <v>34</v>
      </c>
      <c r="S443">
        <v>4</v>
      </c>
    </row>
    <row r="444" spans="1:20" x14ac:dyDescent="0.25">
      <c r="A444">
        <v>442</v>
      </c>
      <c r="B444" t="s">
        <v>94</v>
      </c>
      <c r="C444">
        <v>95112</v>
      </c>
      <c r="D444" t="str">
        <f>"467-20-040"</f>
        <v>467-20-040</v>
      </c>
      <c r="E444" t="s">
        <v>23</v>
      </c>
      <c r="F444" t="s">
        <v>56</v>
      </c>
      <c r="G444">
        <v>0</v>
      </c>
      <c r="H444">
        <v>800</v>
      </c>
      <c r="I444" s="1">
        <v>0.19908897752293001</v>
      </c>
      <c r="J444" s="24" t="s">
        <v>17</v>
      </c>
      <c r="K444" t="s">
        <v>484</v>
      </c>
      <c r="L444" t="s">
        <v>485</v>
      </c>
      <c r="M444" t="s">
        <v>486</v>
      </c>
      <c r="P444">
        <f>S444</f>
        <v>78</v>
      </c>
      <c r="R444" t="s">
        <v>25</v>
      </c>
      <c r="S444">
        <v>78</v>
      </c>
    </row>
    <row r="445" spans="1:20" x14ac:dyDescent="0.25">
      <c r="A445">
        <v>443</v>
      </c>
      <c r="B445" t="s">
        <v>94</v>
      </c>
      <c r="C445">
        <v>95128</v>
      </c>
      <c r="D445" t="str">
        <f>"282-29-006"</f>
        <v>282-29-006</v>
      </c>
      <c r="E445" t="s">
        <v>11</v>
      </c>
      <c r="F445" t="s">
        <v>11</v>
      </c>
      <c r="G445">
        <v>0</v>
      </c>
      <c r="H445">
        <v>150</v>
      </c>
      <c r="I445" s="1">
        <v>0.55103149874502499</v>
      </c>
      <c r="J445" s="24" t="s">
        <v>12</v>
      </c>
      <c r="K445" t="s">
        <v>484</v>
      </c>
      <c r="L445" t="s">
        <v>485</v>
      </c>
      <c r="M445" t="s">
        <v>486</v>
      </c>
      <c r="P445">
        <f>S445</f>
        <v>72</v>
      </c>
      <c r="R445" t="s">
        <v>25</v>
      </c>
      <c r="S445">
        <v>72</v>
      </c>
    </row>
    <row r="446" spans="1:20" x14ac:dyDescent="0.25">
      <c r="A446">
        <v>444</v>
      </c>
      <c r="B446" t="s">
        <v>94</v>
      </c>
      <c r="C446">
        <v>95002</v>
      </c>
      <c r="D446" t="str">
        <f>"015-04-015"</f>
        <v>015-04-015</v>
      </c>
      <c r="E446" t="s">
        <v>42</v>
      </c>
      <c r="F446" t="s">
        <v>42</v>
      </c>
      <c r="G446">
        <v>0</v>
      </c>
      <c r="H446">
        <v>30</v>
      </c>
      <c r="I446" s="1">
        <v>1.0857782515749499</v>
      </c>
      <c r="J446" s="24" t="s">
        <v>17</v>
      </c>
      <c r="K446" t="s">
        <v>484</v>
      </c>
      <c r="L446" t="s">
        <v>485</v>
      </c>
      <c r="M446" t="s">
        <v>486</v>
      </c>
      <c r="P446">
        <f>S446</f>
        <v>32</v>
      </c>
      <c r="R446" t="s">
        <v>25</v>
      </c>
      <c r="S446">
        <v>32</v>
      </c>
    </row>
    <row r="447" spans="1:20" x14ac:dyDescent="0.25">
      <c r="A447">
        <v>445</v>
      </c>
      <c r="B447" t="s">
        <v>94</v>
      </c>
      <c r="C447">
        <v>95113</v>
      </c>
      <c r="D447" t="str">
        <f>"259-33-059"</f>
        <v>259-33-059</v>
      </c>
      <c r="E447" t="s">
        <v>23</v>
      </c>
      <c r="F447" t="s">
        <v>56</v>
      </c>
      <c r="G447">
        <v>0</v>
      </c>
      <c r="H447">
        <v>800</v>
      </c>
      <c r="I447" s="1">
        <v>0.106349065638784</v>
      </c>
      <c r="J447" s="24" t="s">
        <v>17</v>
      </c>
      <c r="K447" t="s">
        <v>484</v>
      </c>
      <c r="L447" t="s">
        <v>485</v>
      </c>
      <c r="M447" t="s">
        <v>486</v>
      </c>
      <c r="P447">
        <f>S447</f>
        <v>23</v>
      </c>
      <c r="R447" t="s">
        <v>25</v>
      </c>
      <c r="S447">
        <v>23</v>
      </c>
    </row>
    <row r="448" spans="1:20" x14ac:dyDescent="0.25">
      <c r="A448">
        <v>446</v>
      </c>
      <c r="B448" t="s">
        <v>94</v>
      </c>
      <c r="C448">
        <v>95126</v>
      </c>
      <c r="D448" t="str">
        <f>"261-39-020"</f>
        <v>261-39-020</v>
      </c>
      <c r="E448" t="s">
        <v>64</v>
      </c>
      <c r="F448" t="s">
        <v>64</v>
      </c>
      <c r="G448">
        <v>30</v>
      </c>
      <c r="H448">
        <v>95</v>
      </c>
      <c r="I448" s="1">
        <v>7.3560703586441303E-2</v>
      </c>
      <c r="J448" s="24" t="s">
        <v>17</v>
      </c>
      <c r="K448" t="s">
        <v>484</v>
      </c>
      <c r="L448" t="s">
        <v>485</v>
      </c>
      <c r="M448" t="s">
        <v>486</v>
      </c>
      <c r="P448">
        <f>S448</f>
        <v>6</v>
      </c>
      <c r="R448" t="s">
        <v>25</v>
      </c>
      <c r="S448">
        <v>6</v>
      </c>
    </row>
    <row r="449" spans="1:20" x14ac:dyDescent="0.25">
      <c r="A449">
        <v>447</v>
      </c>
      <c r="B449" t="s">
        <v>94</v>
      </c>
      <c r="C449">
        <v>95002</v>
      </c>
      <c r="D449" t="str">
        <f>"015-41-006"</f>
        <v>015-41-006</v>
      </c>
      <c r="E449" t="s">
        <v>42</v>
      </c>
      <c r="F449" t="s">
        <v>42</v>
      </c>
      <c r="G449">
        <v>0</v>
      </c>
      <c r="H449">
        <v>30</v>
      </c>
      <c r="I449" s="1">
        <v>0.71826164866220699</v>
      </c>
      <c r="J449" s="24" t="s">
        <v>17</v>
      </c>
      <c r="K449" t="s">
        <v>484</v>
      </c>
      <c r="L449" t="s">
        <v>485</v>
      </c>
      <c r="M449" t="s">
        <v>486</v>
      </c>
      <c r="P449">
        <f>S449</f>
        <v>21</v>
      </c>
      <c r="R449" t="s">
        <v>25</v>
      </c>
      <c r="S449">
        <v>21</v>
      </c>
    </row>
    <row r="450" spans="1:20" x14ac:dyDescent="0.25">
      <c r="A450">
        <v>448</v>
      </c>
      <c r="B450" t="s">
        <v>94</v>
      </c>
      <c r="C450">
        <v>95126</v>
      </c>
      <c r="D450" t="str">
        <f>"261-01-091"</f>
        <v>261-01-091</v>
      </c>
      <c r="E450" t="s">
        <v>244</v>
      </c>
      <c r="F450" t="s">
        <v>244</v>
      </c>
      <c r="G450">
        <v>65</v>
      </c>
      <c r="H450">
        <v>450</v>
      </c>
      <c r="I450" s="1">
        <v>2.64015131880725E-2</v>
      </c>
      <c r="J450" s="24" t="s">
        <v>17</v>
      </c>
      <c r="K450" t="s">
        <v>484</v>
      </c>
      <c r="L450" t="s">
        <v>485</v>
      </c>
      <c r="M450" t="s">
        <v>486</v>
      </c>
      <c r="P450">
        <f>S450</f>
        <v>4</v>
      </c>
      <c r="R450" t="s">
        <v>25</v>
      </c>
      <c r="S450">
        <v>4</v>
      </c>
    </row>
    <row r="451" spans="1:20" x14ac:dyDescent="0.25">
      <c r="A451">
        <v>449</v>
      </c>
      <c r="B451" t="s">
        <v>94</v>
      </c>
      <c r="C451">
        <v>95125</v>
      </c>
      <c r="D451" t="str">
        <f>"434-01-055"</f>
        <v>434-01-055</v>
      </c>
      <c r="E451" t="s">
        <v>6</v>
      </c>
      <c r="F451" t="s">
        <v>30</v>
      </c>
      <c r="G451">
        <v>0</v>
      </c>
      <c r="H451">
        <v>0</v>
      </c>
      <c r="I451" s="1">
        <v>1.01767651080981</v>
      </c>
      <c r="J451" s="24" t="s">
        <v>405</v>
      </c>
      <c r="K451" t="s">
        <v>484</v>
      </c>
      <c r="L451" t="s">
        <v>485</v>
      </c>
      <c r="M451" t="s">
        <v>486</v>
      </c>
      <c r="N451" s="2" t="s">
        <v>481</v>
      </c>
      <c r="O451">
        <f>S451</f>
        <v>64</v>
      </c>
      <c r="R451" t="s">
        <v>9</v>
      </c>
      <c r="S451">
        <v>64</v>
      </c>
      <c r="T451" s="3" t="s">
        <v>487</v>
      </c>
    </row>
    <row r="452" spans="1:20" x14ac:dyDescent="0.25">
      <c r="A452">
        <v>450</v>
      </c>
      <c r="B452" t="s">
        <v>94</v>
      </c>
      <c r="C452">
        <v>95129</v>
      </c>
      <c r="D452" t="str">
        <f>"294-40-001"</f>
        <v>294-40-001</v>
      </c>
      <c r="E452" t="s">
        <v>11</v>
      </c>
      <c r="F452" t="s">
        <v>11</v>
      </c>
      <c r="G452">
        <v>65</v>
      </c>
      <c r="H452">
        <v>250</v>
      </c>
      <c r="I452" s="1">
        <v>9.0775274491708705E-2</v>
      </c>
      <c r="J452" s="24" t="s">
        <v>12</v>
      </c>
      <c r="K452" t="s">
        <v>484</v>
      </c>
      <c r="L452" t="s">
        <v>485</v>
      </c>
      <c r="M452" t="s">
        <v>486</v>
      </c>
      <c r="P452">
        <f>S452</f>
        <v>7</v>
      </c>
      <c r="R452" t="s">
        <v>25</v>
      </c>
      <c r="S452">
        <v>7</v>
      </c>
    </row>
    <row r="453" spans="1:20" x14ac:dyDescent="0.25">
      <c r="A453">
        <v>451</v>
      </c>
      <c r="B453" t="s">
        <v>94</v>
      </c>
      <c r="C453">
        <v>95110</v>
      </c>
      <c r="D453" t="str">
        <f>"261-34-023"</f>
        <v>261-34-023</v>
      </c>
      <c r="E453" t="s">
        <v>23</v>
      </c>
      <c r="F453" t="s">
        <v>24</v>
      </c>
      <c r="G453">
        <v>0</v>
      </c>
      <c r="H453">
        <v>800</v>
      </c>
      <c r="I453" s="1">
        <v>0.58003290498298998</v>
      </c>
      <c r="J453" s="24" t="s">
        <v>463</v>
      </c>
      <c r="K453" t="s">
        <v>484</v>
      </c>
      <c r="L453" t="s">
        <v>485</v>
      </c>
      <c r="M453" t="s">
        <v>486</v>
      </c>
      <c r="Q453">
        <f>S453</f>
        <v>239</v>
      </c>
      <c r="R453" t="s">
        <v>34</v>
      </c>
      <c r="S453">
        <v>239</v>
      </c>
    </row>
    <row r="454" spans="1:20" x14ac:dyDescent="0.25">
      <c r="A454">
        <v>452</v>
      </c>
      <c r="B454" t="s">
        <v>94</v>
      </c>
      <c r="C454">
        <v>95126</v>
      </c>
      <c r="D454" t="str">
        <f>"261-39-024"</f>
        <v>261-39-024</v>
      </c>
      <c r="E454" t="s">
        <v>64</v>
      </c>
      <c r="F454" t="s">
        <v>64</v>
      </c>
      <c r="G454">
        <v>30</v>
      </c>
      <c r="H454">
        <v>95</v>
      </c>
      <c r="I454" s="1">
        <v>0.16270353164884599</v>
      </c>
      <c r="J454" s="24" t="s">
        <v>17</v>
      </c>
      <c r="K454" t="s">
        <v>484</v>
      </c>
      <c r="L454" t="s">
        <v>485</v>
      </c>
      <c r="M454" t="s">
        <v>486</v>
      </c>
      <c r="P454">
        <f>S454</f>
        <v>13</v>
      </c>
      <c r="R454" t="s">
        <v>25</v>
      </c>
      <c r="S454">
        <v>13</v>
      </c>
    </row>
    <row r="455" spans="1:20" x14ac:dyDescent="0.25">
      <c r="A455">
        <v>453</v>
      </c>
      <c r="B455" t="s">
        <v>94</v>
      </c>
      <c r="C455">
        <v>95123</v>
      </c>
      <c r="D455" t="str">
        <f>"692-27-071"</f>
        <v>692-27-071</v>
      </c>
      <c r="E455" t="s">
        <v>6</v>
      </c>
      <c r="F455" t="s">
        <v>33</v>
      </c>
      <c r="G455">
        <v>0</v>
      </c>
      <c r="H455">
        <v>0</v>
      </c>
      <c r="I455" s="1">
        <v>1.2213794474902999</v>
      </c>
      <c r="J455" s="24" t="s">
        <v>79</v>
      </c>
      <c r="K455" t="s">
        <v>484</v>
      </c>
      <c r="L455" t="s">
        <v>485</v>
      </c>
      <c r="M455" t="s">
        <v>486</v>
      </c>
      <c r="N455" s="2" t="s">
        <v>481</v>
      </c>
      <c r="O455">
        <f>S455</f>
        <v>111</v>
      </c>
      <c r="R455" t="s">
        <v>9</v>
      </c>
      <c r="S455">
        <v>111</v>
      </c>
      <c r="T455" t="s">
        <v>488</v>
      </c>
    </row>
    <row r="456" spans="1:20" x14ac:dyDescent="0.25">
      <c r="A456">
        <v>454</v>
      </c>
      <c r="B456" t="s">
        <v>94</v>
      </c>
      <c r="C456">
        <v>95126</v>
      </c>
      <c r="D456" t="str">
        <f>"264-16-029"</f>
        <v>264-16-029</v>
      </c>
      <c r="E456" t="s">
        <v>64</v>
      </c>
      <c r="F456" t="s">
        <v>64</v>
      </c>
      <c r="G456">
        <v>30</v>
      </c>
      <c r="H456">
        <v>95</v>
      </c>
      <c r="I456" s="1">
        <v>0.10516719390899899</v>
      </c>
      <c r="J456" s="24" t="s">
        <v>17</v>
      </c>
      <c r="K456" t="s">
        <v>484</v>
      </c>
      <c r="L456" t="s">
        <v>485</v>
      </c>
      <c r="M456" t="s">
        <v>486</v>
      </c>
      <c r="P456">
        <f>S456</f>
        <v>7</v>
      </c>
      <c r="R456" t="s">
        <v>25</v>
      </c>
      <c r="S456">
        <v>7</v>
      </c>
    </row>
    <row r="457" spans="1:20" x14ac:dyDescent="0.25">
      <c r="A457">
        <v>455</v>
      </c>
      <c r="B457" t="s">
        <v>94</v>
      </c>
      <c r="C457">
        <v>95113</v>
      </c>
      <c r="D457" t="str">
        <f>"264-30-035"</f>
        <v>264-30-035</v>
      </c>
      <c r="E457" t="s">
        <v>23</v>
      </c>
      <c r="F457" t="s">
        <v>365</v>
      </c>
      <c r="G457">
        <v>0</v>
      </c>
      <c r="H457">
        <v>800</v>
      </c>
      <c r="I457" s="1">
        <v>0.11569203466628999</v>
      </c>
      <c r="J457" s="24" t="s">
        <v>12</v>
      </c>
      <c r="K457" t="s">
        <v>484</v>
      </c>
      <c r="L457" t="s">
        <v>485</v>
      </c>
      <c r="M457" t="s">
        <v>486</v>
      </c>
      <c r="P457">
        <f>S457</f>
        <v>18</v>
      </c>
      <c r="R457" t="s">
        <v>25</v>
      </c>
      <c r="S457">
        <v>18</v>
      </c>
    </row>
    <row r="458" spans="1:20" x14ac:dyDescent="0.25">
      <c r="A458">
        <v>456</v>
      </c>
      <c r="B458" t="s">
        <v>94</v>
      </c>
      <c r="C458">
        <v>95126</v>
      </c>
      <c r="D458" t="str">
        <f>"261-39-041"</f>
        <v>261-39-041</v>
      </c>
      <c r="E458" t="s">
        <v>244</v>
      </c>
      <c r="F458" t="s">
        <v>244</v>
      </c>
      <c r="G458">
        <v>65</v>
      </c>
      <c r="H458">
        <v>450</v>
      </c>
      <c r="I458" s="1">
        <v>0.248139954970545</v>
      </c>
      <c r="J458" s="24" t="s">
        <v>17</v>
      </c>
      <c r="K458" t="s">
        <v>484</v>
      </c>
      <c r="L458" t="s">
        <v>485</v>
      </c>
      <c r="M458" t="s">
        <v>486</v>
      </c>
      <c r="P458">
        <f>S458</f>
        <v>25</v>
      </c>
      <c r="R458" t="s">
        <v>25</v>
      </c>
      <c r="S458">
        <v>25</v>
      </c>
    </row>
    <row r="459" spans="1:20" x14ac:dyDescent="0.25">
      <c r="A459">
        <v>457</v>
      </c>
      <c r="B459" t="s">
        <v>94</v>
      </c>
      <c r="C459">
        <v>95110</v>
      </c>
      <c r="D459" t="str">
        <f>"259-31-078"</f>
        <v>259-31-078</v>
      </c>
      <c r="E459" t="s">
        <v>23</v>
      </c>
      <c r="F459" t="s">
        <v>56</v>
      </c>
      <c r="G459">
        <v>0</v>
      </c>
      <c r="H459">
        <v>800</v>
      </c>
      <c r="I459" s="1">
        <v>0.123573729551488</v>
      </c>
      <c r="J459" s="24" t="s">
        <v>17</v>
      </c>
      <c r="K459" t="s">
        <v>484</v>
      </c>
      <c r="L459" t="s">
        <v>485</v>
      </c>
      <c r="M459" t="s">
        <v>486</v>
      </c>
      <c r="P459">
        <f>S459</f>
        <v>24</v>
      </c>
      <c r="R459" t="s">
        <v>25</v>
      </c>
      <c r="S459">
        <v>24</v>
      </c>
    </row>
    <row r="460" spans="1:20" x14ac:dyDescent="0.25">
      <c r="A460">
        <v>458</v>
      </c>
      <c r="B460" t="s">
        <v>94</v>
      </c>
      <c r="C460">
        <v>95116</v>
      </c>
      <c r="D460" t="str">
        <f>"481-46-013"</f>
        <v>481-46-013</v>
      </c>
      <c r="E460" t="s">
        <v>28</v>
      </c>
      <c r="F460" t="s">
        <v>68</v>
      </c>
      <c r="G460">
        <v>0</v>
      </c>
      <c r="H460">
        <v>8</v>
      </c>
      <c r="I460" s="1">
        <v>0.56894989004728602</v>
      </c>
      <c r="J460" s="24" t="s">
        <v>17</v>
      </c>
      <c r="K460" t="s">
        <v>484</v>
      </c>
      <c r="L460" t="s">
        <v>485</v>
      </c>
      <c r="M460" t="s">
        <v>486</v>
      </c>
      <c r="P460">
        <f>S460</f>
        <v>3</v>
      </c>
      <c r="R460" t="s">
        <v>25</v>
      </c>
      <c r="S460">
        <v>3</v>
      </c>
    </row>
    <row r="461" spans="1:20" x14ac:dyDescent="0.25">
      <c r="A461">
        <v>459</v>
      </c>
      <c r="B461" t="s">
        <v>94</v>
      </c>
      <c r="C461">
        <v>95136</v>
      </c>
      <c r="D461" t="str">
        <f>"462-02-026"</f>
        <v>462-02-026</v>
      </c>
      <c r="E461" t="s">
        <v>42</v>
      </c>
      <c r="F461" t="s">
        <v>42</v>
      </c>
      <c r="G461">
        <v>0</v>
      </c>
      <c r="H461">
        <v>30</v>
      </c>
      <c r="I461" s="1">
        <v>2.3901352621654399</v>
      </c>
      <c r="J461" s="24" t="s">
        <v>79</v>
      </c>
      <c r="K461" t="s">
        <v>484</v>
      </c>
      <c r="L461" t="s">
        <v>485</v>
      </c>
      <c r="M461" t="s">
        <v>486</v>
      </c>
      <c r="P461">
        <f>S461</f>
        <v>65</v>
      </c>
      <c r="R461" t="s">
        <v>25</v>
      </c>
      <c r="S461">
        <v>65</v>
      </c>
    </row>
    <row r="462" spans="1:20" x14ac:dyDescent="0.25">
      <c r="A462">
        <v>460</v>
      </c>
      <c r="B462" t="s">
        <v>94</v>
      </c>
      <c r="C462">
        <v>95113</v>
      </c>
      <c r="D462" t="str">
        <f>"259-33-060"</f>
        <v>259-33-060</v>
      </c>
      <c r="E462" t="s">
        <v>23</v>
      </c>
      <c r="F462" t="s">
        <v>56</v>
      </c>
      <c r="G462">
        <v>0</v>
      </c>
      <c r="H462">
        <v>800</v>
      </c>
      <c r="I462" s="1">
        <v>0.14030854167423601</v>
      </c>
      <c r="J462" s="24" t="s">
        <v>17</v>
      </c>
      <c r="K462" t="s">
        <v>484</v>
      </c>
      <c r="L462" t="s">
        <v>485</v>
      </c>
      <c r="M462" t="s">
        <v>486</v>
      </c>
      <c r="P462">
        <f>S462</f>
        <v>30</v>
      </c>
      <c r="R462" t="s">
        <v>25</v>
      </c>
      <c r="S462">
        <v>30</v>
      </c>
    </row>
    <row r="463" spans="1:20" ht="30" x14ac:dyDescent="0.25">
      <c r="A463">
        <v>461</v>
      </c>
      <c r="B463" t="s">
        <v>94</v>
      </c>
      <c r="C463">
        <v>95125</v>
      </c>
      <c r="D463" t="str">
        <f>"456-10-019"</f>
        <v>456-10-019</v>
      </c>
      <c r="E463" t="s">
        <v>64</v>
      </c>
      <c r="F463" t="s">
        <v>64</v>
      </c>
      <c r="G463">
        <v>30</v>
      </c>
      <c r="H463">
        <v>95</v>
      </c>
      <c r="I463" s="1">
        <v>0.60301892336813601</v>
      </c>
      <c r="J463" s="24" t="s">
        <v>65</v>
      </c>
      <c r="K463" t="s">
        <v>484</v>
      </c>
      <c r="L463" t="s">
        <v>485</v>
      </c>
      <c r="M463" t="s">
        <v>486</v>
      </c>
      <c r="P463">
        <f>S463</f>
        <v>53</v>
      </c>
      <c r="R463" t="s">
        <v>25</v>
      </c>
      <c r="S463">
        <v>53</v>
      </c>
    </row>
    <row r="464" spans="1:20" x14ac:dyDescent="0.25">
      <c r="A464">
        <v>462</v>
      </c>
      <c r="B464" t="s">
        <v>94</v>
      </c>
      <c r="C464">
        <v>95110</v>
      </c>
      <c r="D464" t="str">
        <f>"259-31-079"</f>
        <v>259-31-079</v>
      </c>
      <c r="E464" t="s">
        <v>23</v>
      </c>
      <c r="F464" t="s">
        <v>56</v>
      </c>
      <c r="G464">
        <v>0</v>
      </c>
      <c r="H464">
        <v>800</v>
      </c>
      <c r="I464" s="1">
        <v>0.22772147642578899</v>
      </c>
      <c r="J464" s="24" t="s">
        <v>17</v>
      </c>
      <c r="K464" t="s">
        <v>484</v>
      </c>
      <c r="L464" t="s">
        <v>485</v>
      </c>
      <c r="M464" t="s">
        <v>486</v>
      </c>
      <c r="P464">
        <f>S464</f>
        <v>89</v>
      </c>
      <c r="R464" t="s">
        <v>25</v>
      </c>
      <c r="S464">
        <v>89</v>
      </c>
    </row>
    <row r="465" spans="1:20" x14ac:dyDescent="0.25">
      <c r="A465">
        <v>463</v>
      </c>
      <c r="B465" t="s">
        <v>94</v>
      </c>
      <c r="C465">
        <v>95112</v>
      </c>
      <c r="D465" t="str">
        <f>"467-20-054"</f>
        <v>467-20-054</v>
      </c>
      <c r="E465" t="s">
        <v>23</v>
      </c>
      <c r="F465" t="s">
        <v>56</v>
      </c>
      <c r="G465">
        <v>0</v>
      </c>
      <c r="H465">
        <v>800</v>
      </c>
      <c r="I465" s="1">
        <v>0.126634982179755</v>
      </c>
      <c r="J465" s="24" t="s">
        <v>17</v>
      </c>
      <c r="K465" t="s">
        <v>484</v>
      </c>
      <c r="L465" t="s">
        <v>485</v>
      </c>
      <c r="M465" t="s">
        <v>486</v>
      </c>
      <c r="P465">
        <f>S465</f>
        <v>25</v>
      </c>
      <c r="R465" t="s">
        <v>25</v>
      </c>
      <c r="S465">
        <v>25</v>
      </c>
    </row>
    <row r="466" spans="1:20" x14ac:dyDescent="0.25">
      <c r="A466">
        <v>464</v>
      </c>
      <c r="B466" t="s">
        <v>94</v>
      </c>
      <c r="C466">
        <v>95126</v>
      </c>
      <c r="D466" t="str">
        <f>"277-18-031"</f>
        <v>277-18-031</v>
      </c>
      <c r="E466" t="s">
        <v>42</v>
      </c>
      <c r="F466" t="s">
        <v>42</v>
      </c>
      <c r="G466">
        <v>0</v>
      </c>
      <c r="H466">
        <v>30</v>
      </c>
      <c r="I466" s="1">
        <v>0.65750624079464404</v>
      </c>
      <c r="J466" s="24" t="s">
        <v>464</v>
      </c>
      <c r="K466" t="s">
        <v>484</v>
      </c>
      <c r="L466" t="s">
        <v>485</v>
      </c>
      <c r="M466" t="s">
        <v>486</v>
      </c>
      <c r="P466">
        <f>S466</f>
        <v>11</v>
      </c>
      <c r="R466" t="s">
        <v>25</v>
      </c>
      <c r="S466">
        <v>11</v>
      </c>
    </row>
    <row r="467" spans="1:20" x14ac:dyDescent="0.25">
      <c r="A467">
        <v>465</v>
      </c>
      <c r="B467" t="s">
        <v>94</v>
      </c>
      <c r="C467">
        <v>95134</v>
      </c>
      <c r="D467" t="str">
        <f>"097-07-092"</f>
        <v>097-07-092</v>
      </c>
      <c r="E467" t="s">
        <v>59</v>
      </c>
      <c r="F467" t="s">
        <v>59</v>
      </c>
      <c r="G467">
        <v>0</v>
      </c>
      <c r="H467">
        <v>0</v>
      </c>
      <c r="I467" s="1">
        <v>1.12311484163209</v>
      </c>
      <c r="J467" s="24" t="s">
        <v>60</v>
      </c>
      <c r="K467" t="s">
        <v>484</v>
      </c>
      <c r="L467" t="s">
        <v>485</v>
      </c>
      <c r="M467" t="s">
        <v>486</v>
      </c>
      <c r="Q467">
        <f>S467</f>
        <v>84</v>
      </c>
      <c r="R467" t="s">
        <v>34</v>
      </c>
      <c r="S467">
        <v>84</v>
      </c>
      <c r="T467" t="s">
        <v>620</v>
      </c>
    </row>
    <row r="468" spans="1:20" x14ac:dyDescent="0.25">
      <c r="A468">
        <v>466</v>
      </c>
      <c r="B468" t="s">
        <v>94</v>
      </c>
      <c r="C468">
        <v>95111</v>
      </c>
      <c r="D468" t="str">
        <f>"497-51-012"</f>
        <v>497-51-012</v>
      </c>
      <c r="E468" t="s">
        <v>28</v>
      </c>
      <c r="F468" t="s">
        <v>68</v>
      </c>
      <c r="G468">
        <v>0</v>
      </c>
      <c r="H468">
        <v>8</v>
      </c>
      <c r="I468" s="1">
        <v>0.75979462122938701</v>
      </c>
      <c r="J468" s="24" t="s">
        <v>17</v>
      </c>
      <c r="K468" t="s">
        <v>484</v>
      </c>
      <c r="L468" t="s">
        <v>485</v>
      </c>
      <c r="M468" t="s">
        <v>486</v>
      </c>
      <c r="P468">
        <f>S468</f>
        <v>4</v>
      </c>
      <c r="R468" t="s">
        <v>25</v>
      </c>
      <c r="S468">
        <v>4</v>
      </c>
    </row>
    <row r="469" spans="1:20" x14ac:dyDescent="0.25">
      <c r="A469">
        <v>467</v>
      </c>
      <c r="B469" t="s">
        <v>94</v>
      </c>
      <c r="C469">
        <v>95113</v>
      </c>
      <c r="D469" t="str">
        <f>"467-22-160"</f>
        <v>467-22-160</v>
      </c>
      <c r="E469" t="s">
        <v>23</v>
      </c>
      <c r="F469" t="s">
        <v>56</v>
      </c>
      <c r="G469">
        <v>0</v>
      </c>
      <c r="H469">
        <v>800</v>
      </c>
      <c r="I469" s="1">
        <v>1.3420883139692401</v>
      </c>
      <c r="J469" s="24" t="s">
        <v>12</v>
      </c>
      <c r="K469" t="s">
        <v>484</v>
      </c>
      <c r="L469" t="s">
        <v>485</v>
      </c>
      <c r="M469" t="s">
        <v>486</v>
      </c>
      <c r="N469" t="s">
        <v>483</v>
      </c>
      <c r="O469">
        <f>S469</f>
        <v>219</v>
      </c>
      <c r="R469" t="s">
        <v>9</v>
      </c>
      <c r="S469">
        <v>219</v>
      </c>
    </row>
    <row r="470" spans="1:20" x14ac:dyDescent="0.25">
      <c r="A470">
        <v>468</v>
      </c>
      <c r="B470" t="s">
        <v>94</v>
      </c>
      <c r="C470">
        <v>95126</v>
      </c>
      <c r="D470" t="str">
        <f>"277-18-008"</f>
        <v>277-18-008</v>
      </c>
      <c r="E470" t="s">
        <v>42</v>
      </c>
      <c r="F470" t="s">
        <v>42</v>
      </c>
      <c r="G470">
        <v>0</v>
      </c>
      <c r="H470">
        <v>30</v>
      </c>
      <c r="I470" s="1">
        <v>0.89936539905449997</v>
      </c>
      <c r="J470" s="24" t="s">
        <v>464</v>
      </c>
      <c r="K470" t="s">
        <v>484</v>
      </c>
      <c r="L470" t="s">
        <v>485</v>
      </c>
      <c r="M470" t="s">
        <v>486</v>
      </c>
      <c r="P470">
        <f>S470</f>
        <v>13</v>
      </c>
      <c r="R470" t="s">
        <v>25</v>
      </c>
      <c r="S470">
        <v>13</v>
      </c>
    </row>
    <row r="471" spans="1:20" x14ac:dyDescent="0.25">
      <c r="A471">
        <v>469</v>
      </c>
      <c r="B471" t="s">
        <v>94</v>
      </c>
      <c r="C471">
        <v>95134</v>
      </c>
      <c r="D471" t="str">
        <f>"097-07-085"</f>
        <v>097-07-085</v>
      </c>
      <c r="E471" t="s">
        <v>59</v>
      </c>
      <c r="F471" t="s">
        <v>59</v>
      </c>
      <c r="G471">
        <v>0</v>
      </c>
      <c r="H471">
        <v>0</v>
      </c>
      <c r="I471" s="1">
        <v>3.4477736884696402</v>
      </c>
      <c r="J471" s="24" t="s">
        <v>17</v>
      </c>
      <c r="K471" t="s">
        <v>484</v>
      </c>
      <c r="L471" t="s">
        <v>485</v>
      </c>
      <c r="M471" t="s">
        <v>486</v>
      </c>
      <c r="N471" t="s">
        <v>483</v>
      </c>
      <c r="O471">
        <f>S471</f>
        <v>259</v>
      </c>
      <c r="R471" t="s">
        <v>9</v>
      </c>
      <c r="S471">
        <v>259</v>
      </c>
      <c r="T471" t="s">
        <v>619</v>
      </c>
    </row>
    <row r="472" spans="1:20" x14ac:dyDescent="0.25">
      <c r="A472">
        <v>470</v>
      </c>
      <c r="B472" t="s">
        <v>94</v>
      </c>
      <c r="C472">
        <v>95110</v>
      </c>
      <c r="D472" t="str">
        <f>"259-30-105"</f>
        <v>259-30-105</v>
      </c>
      <c r="E472" t="s">
        <v>23</v>
      </c>
      <c r="F472" t="s">
        <v>56</v>
      </c>
      <c r="G472">
        <v>0</v>
      </c>
      <c r="H472">
        <v>800</v>
      </c>
      <c r="I472" s="1">
        <v>6.1083973743340299E-2</v>
      </c>
      <c r="J472" s="24" t="s">
        <v>17</v>
      </c>
      <c r="K472" t="s">
        <v>484</v>
      </c>
      <c r="L472" t="s">
        <v>485</v>
      </c>
      <c r="M472" t="s">
        <v>486</v>
      </c>
      <c r="P472">
        <f>S472</f>
        <v>23</v>
      </c>
      <c r="R472" t="s">
        <v>25</v>
      </c>
      <c r="S472">
        <v>23</v>
      </c>
    </row>
    <row r="473" spans="1:20" x14ac:dyDescent="0.25">
      <c r="A473">
        <v>471</v>
      </c>
      <c r="B473" t="s">
        <v>94</v>
      </c>
      <c r="C473">
        <v>95127</v>
      </c>
      <c r="D473" t="str">
        <f>"484-44-063"</f>
        <v>484-44-063</v>
      </c>
      <c r="E473" t="s">
        <v>6</v>
      </c>
      <c r="F473" t="s">
        <v>33</v>
      </c>
      <c r="G473">
        <v>0</v>
      </c>
      <c r="H473">
        <v>0</v>
      </c>
      <c r="I473" s="1">
        <v>0.23851940345209299</v>
      </c>
      <c r="J473" s="24" t="s">
        <v>251</v>
      </c>
      <c r="K473" t="s">
        <v>484</v>
      </c>
      <c r="L473" t="s">
        <v>485</v>
      </c>
      <c r="M473" t="s">
        <v>486</v>
      </c>
      <c r="N473" t="s">
        <v>483</v>
      </c>
      <c r="O473">
        <f>S473</f>
        <v>26</v>
      </c>
      <c r="R473" t="s">
        <v>9</v>
      </c>
      <c r="S473">
        <v>26</v>
      </c>
      <c r="T473" t="s">
        <v>488</v>
      </c>
    </row>
    <row r="474" spans="1:20" x14ac:dyDescent="0.25">
      <c r="A474">
        <v>472</v>
      </c>
      <c r="B474" t="s">
        <v>94</v>
      </c>
      <c r="C474">
        <v>95125</v>
      </c>
      <c r="D474" t="str">
        <f>"456-09-017"</f>
        <v>456-09-017</v>
      </c>
      <c r="E474" t="s">
        <v>64</v>
      </c>
      <c r="F474" t="s">
        <v>64</v>
      </c>
      <c r="G474">
        <v>30</v>
      </c>
      <c r="H474">
        <v>95</v>
      </c>
      <c r="I474" s="1">
        <v>0.99573194249198205</v>
      </c>
      <c r="J474" s="24" t="s">
        <v>621</v>
      </c>
      <c r="K474" t="s">
        <v>484</v>
      </c>
      <c r="L474" t="s">
        <v>489</v>
      </c>
      <c r="M474" t="s">
        <v>486</v>
      </c>
      <c r="N474" s="2" t="s">
        <v>481</v>
      </c>
      <c r="O474">
        <f>S474</f>
        <v>105</v>
      </c>
      <c r="R474" t="s">
        <v>9</v>
      </c>
      <c r="S474">
        <v>105</v>
      </c>
    </row>
    <row r="475" spans="1:20" x14ac:dyDescent="0.25">
      <c r="A475">
        <v>473</v>
      </c>
      <c r="B475" t="s">
        <v>94</v>
      </c>
      <c r="C475">
        <v>95132</v>
      </c>
      <c r="D475" t="str">
        <f>"586-18-059"</f>
        <v>586-18-059</v>
      </c>
      <c r="E475" t="s">
        <v>28</v>
      </c>
      <c r="F475" t="s">
        <v>68</v>
      </c>
      <c r="G475">
        <v>0</v>
      </c>
      <c r="H475">
        <v>8</v>
      </c>
      <c r="I475" s="1">
        <v>0.60234153146942104</v>
      </c>
      <c r="J475" s="24" t="s">
        <v>17</v>
      </c>
      <c r="K475" t="s">
        <v>484</v>
      </c>
      <c r="L475" t="s">
        <v>485</v>
      </c>
      <c r="M475" t="s">
        <v>486</v>
      </c>
      <c r="P475">
        <f>S475</f>
        <v>4</v>
      </c>
      <c r="R475" t="s">
        <v>25</v>
      </c>
      <c r="S475">
        <v>4</v>
      </c>
    </row>
    <row r="476" spans="1:20" x14ac:dyDescent="0.25">
      <c r="A476">
        <v>474</v>
      </c>
      <c r="B476" t="s">
        <v>465</v>
      </c>
      <c r="C476">
        <v>95002</v>
      </c>
      <c r="D476" t="str">
        <f>"015-02-054"</f>
        <v>015-02-054</v>
      </c>
      <c r="E476" t="s">
        <v>42</v>
      </c>
      <c r="F476" t="s">
        <v>42</v>
      </c>
      <c r="G476">
        <v>0</v>
      </c>
      <c r="H476">
        <v>30</v>
      </c>
      <c r="I476" s="1">
        <v>0.169377179888582</v>
      </c>
      <c r="J476" s="24" t="s">
        <v>17</v>
      </c>
      <c r="K476" t="s">
        <v>484</v>
      </c>
      <c r="L476" t="s">
        <v>485</v>
      </c>
      <c r="M476" t="s">
        <v>486</v>
      </c>
      <c r="P476">
        <f>S476</f>
        <v>5</v>
      </c>
      <c r="R476" t="s">
        <v>25</v>
      </c>
      <c r="S476">
        <v>5</v>
      </c>
    </row>
  </sheetData>
  <sortState xmlns:xlrd2="http://schemas.microsoft.com/office/spreadsheetml/2017/richdata2" ref="A3:T476">
    <sortCondition ref="A3:A476"/>
  </sortState>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6E684-B7A5-4401-B122-365F4F9DAD81}">
  <dimension ref="A1:U26"/>
  <sheetViews>
    <sheetView workbookViewId="0">
      <selection activeCell="G34" sqref="G34"/>
    </sheetView>
  </sheetViews>
  <sheetFormatPr defaultRowHeight="15" x14ac:dyDescent="0.25"/>
  <cols>
    <col min="1" max="1" width="10.5703125" customWidth="1"/>
    <col min="2" max="2" width="38.42578125" bestFit="1" customWidth="1"/>
    <col min="4" max="4" width="13" bestFit="1" customWidth="1"/>
    <col min="7" max="7" width="15" customWidth="1"/>
    <col min="8" max="8" width="12.28515625" customWidth="1"/>
    <col min="9" max="9" width="17.7109375" bestFit="1" customWidth="1"/>
    <col min="10" max="10" width="9" bestFit="1" customWidth="1"/>
    <col min="11" max="11" width="28.7109375" bestFit="1" customWidth="1"/>
    <col min="12" max="12" width="40.140625" bestFit="1" customWidth="1"/>
    <col min="13" max="13" width="48.85546875" bestFit="1" customWidth="1"/>
    <col min="14" max="14" width="8.85546875" bestFit="1" customWidth="1"/>
    <col min="15" max="17" width="13" customWidth="1"/>
    <col min="18" max="18" width="11.7109375" bestFit="1" customWidth="1"/>
    <col min="19" max="19" width="96.42578125" bestFit="1" customWidth="1"/>
    <col min="20" max="20" width="13.140625" bestFit="1" customWidth="1"/>
  </cols>
  <sheetData>
    <row r="1" spans="1:21" x14ac:dyDescent="0.25">
      <c r="A1" t="s">
        <v>614</v>
      </c>
    </row>
    <row r="2" spans="1:21" ht="110.25" x14ac:dyDescent="0.25">
      <c r="A2" s="18" t="s">
        <v>615</v>
      </c>
      <c r="B2" s="6" t="s">
        <v>534</v>
      </c>
      <c r="C2" s="7" t="s">
        <v>535</v>
      </c>
      <c r="D2" s="7" t="s">
        <v>536</v>
      </c>
      <c r="E2" s="6" t="s">
        <v>537</v>
      </c>
      <c r="F2" s="6" t="s">
        <v>538</v>
      </c>
      <c r="G2" s="6" t="s">
        <v>539</v>
      </c>
      <c r="H2" s="6" t="s">
        <v>540</v>
      </c>
      <c r="I2" s="6" t="s">
        <v>541</v>
      </c>
      <c r="J2" s="6" t="s">
        <v>542</v>
      </c>
      <c r="K2" s="6" t="s">
        <v>543</v>
      </c>
      <c r="L2" s="6" t="s">
        <v>544</v>
      </c>
      <c r="M2" s="6" t="s">
        <v>545</v>
      </c>
      <c r="N2" s="6" t="s">
        <v>546</v>
      </c>
      <c r="O2" s="6" t="s">
        <v>547</v>
      </c>
      <c r="P2" s="6" t="s">
        <v>548</v>
      </c>
      <c r="Q2" s="6" t="s">
        <v>479</v>
      </c>
      <c r="R2" s="6" t="s">
        <v>549</v>
      </c>
      <c r="S2" s="8" t="s">
        <v>550</v>
      </c>
      <c r="T2" s="9" t="s">
        <v>472</v>
      </c>
      <c r="U2" s="9" t="s">
        <v>551</v>
      </c>
    </row>
    <row r="3" spans="1:21" ht="15.75" x14ac:dyDescent="0.25">
      <c r="A3" t="s">
        <v>616</v>
      </c>
      <c r="B3" s="4" t="s">
        <v>94</v>
      </c>
      <c r="C3" s="10">
        <v>95134</v>
      </c>
      <c r="D3" s="10" t="s">
        <v>552</v>
      </c>
      <c r="E3" s="4">
        <v>0</v>
      </c>
      <c r="F3" s="4">
        <v>307</v>
      </c>
      <c r="G3" s="4">
        <v>0</v>
      </c>
      <c r="H3" s="4">
        <v>0</v>
      </c>
      <c r="I3" s="4" t="s">
        <v>553</v>
      </c>
      <c r="J3" s="4">
        <v>4.0999999999999996</v>
      </c>
      <c r="K3" s="4" t="s">
        <v>59</v>
      </c>
      <c r="L3" s="4" t="s">
        <v>59</v>
      </c>
      <c r="M3" s="4" t="s">
        <v>554</v>
      </c>
      <c r="N3" s="4" t="s">
        <v>555</v>
      </c>
      <c r="O3" s="4">
        <v>75</v>
      </c>
      <c r="P3" s="4">
        <v>250</v>
      </c>
      <c r="Q3" s="4">
        <v>307</v>
      </c>
      <c r="R3" s="4" t="s">
        <v>556</v>
      </c>
      <c r="S3" s="11" t="s">
        <v>556</v>
      </c>
      <c r="T3" s="12" t="s">
        <v>484</v>
      </c>
      <c r="U3" s="12"/>
    </row>
    <row r="4" spans="1:21" ht="15.75" x14ac:dyDescent="0.25">
      <c r="A4" t="s">
        <v>616</v>
      </c>
      <c r="B4" s="5" t="s">
        <v>94</v>
      </c>
      <c r="C4" s="13">
        <v>95134</v>
      </c>
      <c r="D4" s="13" t="s">
        <v>557</v>
      </c>
      <c r="E4" s="5">
        <v>0</v>
      </c>
      <c r="F4" s="5">
        <v>259</v>
      </c>
      <c r="G4" s="5">
        <v>0</v>
      </c>
      <c r="H4" s="5">
        <v>0</v>
      </c>
      <c r="I4" s="5" t="s">
        <v>553</v>
      </c>
      <c r="J4" s="5">
        <v>3.45</v>
      </c>
      <c r="K4" s="5" t="s">
        <v>59</v>
      </c>
      <c r="L4" s="5" t="s">
        <v>558</v>
      </c>
      <c r="M4" s="5" t="s">
        <v>554</v>
      </c>
      <c r="N4" s="5" t="s">
        <v>555</v>
      </c>
      <c r="O4" s="5">
        <v>75</v>
      </c>
      <c r="P4" s="5">
        <v>250</v>
      </c>
      <c r="Q4" s="5">
        <v>259</v>
      </c>
      <c r="R4" s="5" t="s">
        <v>556</v>
      </c>
      <c r="S4" s="14" t="s">
        <v>556</v>
      </c>
      <c r="T4" s="15" t="s">
        <v>484</v>
      </c>
      <c r="U4" s="16"/>
    </row>
    <row r="5" spans="1:21" ht="15.75" x14ac:dyDescent="0.25">
      <c r="A5" t="s">
        <v>616</v>
      </c>
      <c r="B5" s="4" t="s">
        <v>559</v>
      </c>
      <c r="C5" s="10">
        <v>95134</v>
      </c>
      <c r="D5" s="10" t="s">
        <v>560</v>
      </c>
      <c r="E5" s="4">
        <v>0</v>
      </c>
      <c r="F5" s="4">
        <v>312</v>
      </c>
      <c r="G5" s="4">
        <v>0</v>
      </c>
      <c r="H5" s="4">
        <v>0</v>
      </c>
      <c r="I5" s="4" t="s">
        <v>553</v>
      </c>
      <c r="J5" s="4">
        <v>4.16</v>
      </c>
      <c r="K5" s="4" t="s">
        <v>59</v>
      </c>
      <c r="L5" s="4" t="s">
        <v>558</v>
      </c>
      <c r="M5" s="4" t="s">
        <v>554</v>
      </c>
      <c r="N5" s="4" t="s">
        <v>555</v>
      </c>
      <c r="O5" s="4">
        <v>75</v>
      </c>
      <c r="P5" s="4">
        <v>250</v>
      </c>
      <c r="Q5" s="4">
        <v>312</v>
      </c>
      <c r="R5" s="4" t="s">
        <v>561</v>
      </c>
      <c r="S5" s="11" t="s">
        <v>60</v>
      </c>
      <c r="T5" s="12" t="s">
        <v>484</v>
      </c>
      <c r="U5" s="17"/>
    </row>
    <row r="6" spans="1:21" ht="15.75" x14ac:dyDescent="0.25">
      <c r="A6" t="s">
        <v>616</v>
      </c>
      <c r="B6" s="5" t="s">
        <v>562</v>
      </c>
      <c r="C6" s="13">
        <v>95134</v>
      </c>
      <c r="D6" s="13" t="s">
        <v>563</v>
      </c>
      <c r="E6" s="5">
        <v>0</v>
      </c>
      <c r="F6" s="5">
        <v>335</v>
      </c>
      <c r="G6" s="5">
        <v>0</v>
      </c>
      <c r="H6" s="5">
        <v>0</v>
      </c>
      <c r="I6" s="5" t="s">
        <v>553</v>
      </c>
      <c r="J6" s="5">
        <v>3.67</v>
      </c>
      <c r="K6" s="5" t="s">
        <v>59</v>
      </c>
      <c r="L6" s="5" t="s">
        <v>558</v>
      </c>
      <c r="M6" s="5" t="s">
        <v>554</v>
      </c>
      <c r="N6" s="5" t="s">
        <v>555</v>
      </c>
      <c r="O6" s="5">
        <v>75</v>
      </c>
      <c r="P6" s="5">
        <v>250</v>
      </c>
      <c r="Q6" s="5">
        <v>335</v>
      </c>
      <c r="R6" s="5" t="s">
        <v>556</v>
      </c>
      <c r="S6" s="14" t="s">
        <v>556</v>
      </c>
      <c r="T6" s="15" t="s">
        <v>484</v>
      </c>
      <c r="U6" s="16"/>
    </row>
    <row r="7" spans="1:21" ht="15.75" x14ac:dyDescent="0.25">
      <c r="A7" t="s">
        <v>616</v>
      </c>
      <c r="B7" s="4" t="s">
        <v>564</v>
      </c>
      <c r="C7" s="10">
        <v>95134</v>
      </c>
      <c r="D7" s="10" t="s">
        <v>565</v>
      </c>
      <c r="E7" s="4">
        <v>0</v>
      </c>
      <c r="F7" s="4">
        <v>239</v>
      </c>
      <c r="G7" s="4">
        <v>0</v>
      </c>
      <c r="H7" s="4">
        <v>0</v>
      </c>
      <c r="I7" s="4" t="s">
        <v>553</v>
      </c>
      <c r="J7" s="4">
        <v>2.62</v>
      </c>
      <c r="K7" s="4" t="s">
        <v>59</v>
      </c>
      <c r="L7" s="4" t="s">
        <v>558</v>
      </c>
      <c r="M7" s="4" t="s">
        <v>554</v>
      </c>
      <c r="N7" s="4" t="s">
        <v>555</v>
      </c>
      <c r="O7" s="4">
        <v>75</v>
      </c>
      <c r="P7" s="4">
        <v>250</v>
      </c>
      <c r="Q7" s="4">
        <v>239</v>
      </c>
      <c r="R7" s="4" t="s">
        <v>556</v>
      </c>
      <c r="S7" s="11" t="s">
        <v>556</v>
      </c>
      <c r="T7" s="12" t="s">
        <v>484</v>
      </c>
      <c r="U7" s="17"/>
    </row>
    <row r="8" spans="1:21" ht="15.75" x14ac:dyDescent="0.25">
      <c r="A8" t="s">
        <v>616</v>
      </c>
      <c r="B8" s="5" t="s">
        <v>566</v>
      </c>
      <c r="C8" s="13">
        <v>95134</v>
      </c>
      <c r="D8" s="13" t="s">
        <v>567</v>
      </c>
      <c r="E8" s="5">
        <v>0</v>
      </c>
      <c r="F8" s="5">
        <v>280</v>
      </c>
      <c r="G8" s="5">
        <v>0</v>
      </c>
      <c r="H8" s="5">
        <v>0</v>
      </c>
      <c r="I8" s="5" t="s">
        <v>553</v>
      </c>
      <c r="J8" s="5">
        <v>3.08</v>
      </c>
      <c r="K8" s="5" t="s">
        <v>59</v>
      </c>
      <c r="L8" s="5" t="s">
        <v>59</v>
      </c>
      <c r="M8" s="5" t="s">
        <v>554</v>
      </c>
      <c r="N8" s="5" t="s">
        <v>555</v>
      </c>
      <c r="O8" s="5">
        <v>75</v>
      </c>
      <c r="P8" s="5">
        <v>250</v>
      </c>
      <c r="Q8" s="5">
        <v>280</v>
      </c>
      <c r="R8" s="5" t="s">
        <v>556</v>
      </c>
      <c r="S8" s="14" t="s">
        <v>556</v>
      </c>
      <c r="T8" s="15" t="s">
        <v>484</v>
      </c>
      <c r="U8" s="16"/>
    </row>
    <row r="9" spans="1:21" ht="15.75" x14ac:dyDescent="0.25">
      <c r="A9" t="s">
        <v>616</v>
      </c>
      <c r="B9" s="4" t="s">
        <v>568</v>
      </c>
      <c r="C9" s="10">
        <v>95134</v>
      </c>
      <c r="D9" s="10" t="s">
        <v>569</v>
      </c>
      <c r="E9" s="4">
        <v>0</v>
      </c>
      <c r="F9" s="4">
        <v>379</v>
      </c>
      <c r="G9" s="4">
        <v>0</v>
      </c>
      <c r="H9" s="4">
        <v>0</v>
      </c>
      <c r="I9" s="4" t="s">
        <v>553</v>
      </c>
      <c r="J9" s="4">
        <v>5.05</v>
      </c>
      <c r="K9" s="4" t="s">
        <v>59</v>
      </c>
      <c r="L9" s="4" t="s">
        <v>59</v>
      </c>
      <c r="M9" s="4" t="s">
        <v>554</v>
      </c>
      <c r="N9" s="4" t="s">
        <v>555</v>
      </c>
      <c r="O9" s="4">
        <v>75</v>
      </c>
      <c r="P9" s="4">
        <v>250</v>
      </c>
      <c r="Q9" s="4">
        <v>379</v>
      </c>
      <c r="R9" s="4" t="s">
        <v>561</v>
      </c>
      <c r="S9" s="11" t="s">
        <v>65</v>
      </c>
      <c r="T9" s="12" t="s">
        <v>484</v>
      </c>
      <c r="U9" s="17"/>
    </row>
    <row r="10" spans="1:21" ht="15.75" x14ac:dyDescent="0.25">
      <c r="A10" t="s">
        <v>616</v>
      </c>
      <c r="B10" s="5" t="s">
        <v>19</v>
      </c>
      <c r="C10" s="13">
        <v>95112</v>
      </c>
      <c r="D10" s="13" t="s">
        <v>570</v>
      </c>
      <c r="E10" s="5">
        <v>0</v>
      </c>
      <c r="F10" s="5">
        <v>72</v>
      </c>
      <c r="G10" s="5">
        <v>0</v>
      </c>
      <c r="H10" s="5">
        <v>0</v>
      </c>
      <c r="I10" s="5" t="s">
        <v>553</v>
      </c>
      <c r="J10" s="5">
        <v>1.44</v>
      </c>
      <c r="K10" s="5" t="s">
        <v>11</v>
      </c>
      <c r="L10" s="5" t="s">
        <v>571</v>
      </c>
      <c r="M10" s="5" t="s">
        <v>572</v>
      </c>
      <c r="N10" s="5" t="s">
        <v>555</v>
      </c>
      <c r="O10" s="5">
        <v>75</v>
      </c>
      <c r="P10" s="5">
        <v>250</v>
      </c>
      <c r="Q10" s="5">
        <v>72</v>
      </c>
      <c r="R10" s="5" t="s">
        <v>561</v>
      </c>
      <c r="S10" s="14" t="s">
        <v>573</v>
      </c>
      <c r="T10" s="15" t="s">
        <v>484</v>
      </c>
      <c r="U10" s="16"/>
    </row>
    <row r="11" spans="1:21" ht="15.75" x14ac:dyDescent="0.25">
      <c r="A11" t="s">
        <v>616</v>
      </c>
      <c r="B11" s="4" t="s">
        <v>574</v>
      </c>
      <c r="C11" s="10">
        <v>95112</v>
      </c>
      <c r="D11" s="10" t="s">
        <v>575</v>
      </c>
      <c r="E11" s="4">
        <v>0</v>
      </c>
      <c r="F11" s="4">
        <v>74</v>
      </c>
      <c r="G11" s="4">
        <v>0</v>
      </c>
      <c r="H11" s="4">
        <v>0</v>
      </c>
      <c r="I11" s="4" t="s">
        <v>553</v>
      </c>
      <c r="J11" s="4">
        <v>1.48</v>
      </c>
      <c r="K11" s="4" t="s">
        <v>11</v>
      </c>
      <c r="L11" s="4" t="s">
        <v>571</v>
      </c>
      <c r="M11" s="4" t="s">
        <v>572</v>
      </c>
      <c r="N11" s="4" t="s">
        <v>555</v>
      </c>
      <c r="O11" s="4">
        <v>75</v>
      </c>
      <c r="P11" s="4">
        <v>250</v>
      </c>
      <c r="Q11" s="4">
        <v>74</v>
      </c>
      <c r="R11" s="4" t="s">
        <v>561</v>
      </c>
      <c r="S11" s="11" t="s">
        <v>576</v>
      </c>
      <c r="T11" s="12" t="s">
        <v>484</v>
      </c>
      <c r="U11" s="17"/>
    </row>
    <row r="12" spans="1:21" ht="15.75" x14ac:dyDescent="0.25">
      <c r="A12" t="s">
        <v>616</v>
      </c>
      <c r="B12" s="5" t="s">
        <v>577</v>
      </c>
      <c r="C12" s="13">
        <v>95112</v>
      </c>
      <c r="D12" s="13" t="s">
        <v>578</v>
      </c>
      <c r="E12" s="5">
        <v>0</v>
      </c>
      <c r="F12" s="5">
        <v>75</v>
      </c>
      <c r="G12" s="5">
        <v>0</v>
      </c>
      <c r="H12" s="5">
        <v>0</v>
      </c>
      <c r="I12" s="5" t="s">
        <v>553</v>
      </c>
      <c r="J12" s="5">
        <v>0.53</v>
      </c>
      <c r="K12" s="5" t="s">
        <v>11</v>
      </c>
      <c r="L12" s="5" t="s">
        <v>579</v>
      </c>
      <c r="M12" s="5" t="s">
        <v>572</v>
      </c>
      <c r="N12" s="5" t="s">
        <v>555</v>
      </c>
      <c r="O12" s="5">
        <v>75</v>
      </c>
      <c r="P12" s="5">
        <v>250</v>
      </c>
      <c r="Q12" s="5">
        <v>75</v>
      </c>
      <c r="R12" s="5" t="s">
        <v>561</v>
      </c>
      <c r="S12" s="14" t="s">
        <v>12</v>
      </c>
      <c r="T12" s="15" t="s">
        <v>484</v>
      </c>
      <c r="U12" s="16"/>
    </row>
    <row r="13" spans="1:21" ht="15.75" x14ac:dyDescent="0.25">
      <c r="A13" t="s">
        <v>616</v>
      </c>
      <c r="B13" s="4" t="s">
        <v>580</v>
      </c>
      <c r="C13" s="10">
        <v>95134</v>
      </c>
      <c r="D13" s="10" t="s">
        <v>581</v>
      </c>
      <c r="E13" s="4">
        <v>0</v>
      </c>
      <c r="F13" s="4">
        <v>80</v>
      </c>
      <c r="G13" s="4">
        <v>0</v>
      </c>
      <c r="H13" s="4">
        <v>0</v>
      </c>
      <c r="I13" s="4" t="s">
        <v>553</v>
      </c>
      <c r="J13" s="4">
        <v>4.28</v>
      </c>
      <c r="K13" s="4" t="s">
        <v>59</v>
      </c>
      <c r="L13" s="4" t="s">
        <v>59</v>
      </c>
      <c r="M13" s="4" t="s">
        <v>582</v>
      </c>
      <c r="N13" s="4" t="s">
        <v>583</v>
      </c>
      <c r="O13" s="4">
        <v>75</v>
      </c>
      <c r="P13" s="4">
        <v>250</v>
      </c>
      <c r="Q13" s="4">
        <v>80</v>
      </c>
      <c r="R13" s="4" t="s">
        <v>561</v>
      </c>
      <c r="S13" s="11" t="s">
        <v>60</v>
      </c>
      <c r="T13" s="12" t="s">
        <v>484</v>
      </c>
      <c r="U13" s="17"/>
    </row>
    <row r="14" spans="1:21" ht="15.75" x14ac:dyDescent="0.25">
      <c r="A14" t="s">
        <v>616</v>
      </c>
      <c r="B14" s="5" t="s">
        <v>584</v>
      </c>
      <c r="C14" s="13">
        <v>95134</v>
      </c>
      <c r="D14" s="13" t="s">
        <v>585</v>
      </c>
      <c r="E14" s="5">
        <v>0</v>
      </c>
      <c r="F14" s="5">
        <v>339</v>
      </c>
      <c r="G14" s="5">
        <v>0</v>
      </c>
      <c r="H14" s="5">
        <v>1017</v>
      </c>
      <c r="I14" s="5" t="s">
        <v>553</v>
      </c>
      <c r="J14" s="5">
        <v>17.71</v>
      </c>
      <c r="K14" s="5" t="s">
        <v>59</v>
      </c>
      <c r="L14" s="5" t="s">
        <v>558</v>
      </c>
      <c r="M14" s="5" t="s">
        <v>582</v>
      </c>
      <c r="N14" s="5" t="s">
        <v>583</v>
      </c>
      <c r="O14" s="5">
        <v>75</v>
      </c>
      <c r="P14" s="5">
        <v>250</v>
      </c>
      <c r="Q14" s="5">
        <v>1356</v>
      </c>
      <c r="R14" s="5" t="s">
        <v>561</v>
      </c>
      <c r="S14" s="14" t="s">
        <v>65</v>
      </c>
      <c r="T14" s="15" t="s">
        <v>484</v>
      </c>
      <c r="U14" s="16"/>
    </row>
    <row r="15" spans="1:21" ht="15.75" x14ac:dyDescent="0.25">
      <c r="A15" t="s">
        <v>616</v>
      </c>
      <c r="B15" s="4" t="s">
        <v>586</v>
      </c>
      <c r="C15" s="10">
        <v>95134</v>
      </c>
      <c r="D15" s="10" t="s">
        <v>587</v>
      </c>
      <c r="E15" s="4">
        <v>0</v>
      </c>
      <c r="F15" s="4">
        <v>119</v>
      </c>
      <c r="G15" s="4">
        <v>0</v>
      </c>
      <c r="H15" s="4">
        <v>356</v>
      </c>
      <c r="I15" s="4" t="s">
        <v>553</v>
      </c>
      <c r="J15" s="4">
        <v>6.33</v>
      </c>
      <c r="K15" s="4" t="s">
        <v>59</v>
      </c>
      <c r="L15" s="4" t="s">
        <v>59</v>
      </c>
      <c r="M15" s="4" t="s">
        <v>582</v>
      </c>
      <c r="N15" s="4" t="s">
        <v>583</v>
      </c>
      <c r="O15" s="4">
        <v>75</v>
      </c>
      <c r="P15" s="4">
        <v>250</v>
      </c>
      <c r="Q15" s="4">
        <v>475</v>
      </c>
      <c r="R15" s="4" t="s">
        <v>561</v>
      </c>
      <c r="S15" s="11" t="s">
        <v>60</v>
      </c>
      <c r="T15" s="12" t="s">
        <v>484</v>
      </c>
      <c r="U15" s="17"/>
    </row>
    <row r="16" spans="1:21" ht="15.75" x14ac:dyDescent="0.25">
      <c r="A16" t="s">
        <v>616</v>
      </c>
      <c r="B16" s="5" t="s">
        <v>588</v>
      </c>
      <c r="C16" s="13">
        <v>95131</v>
      </c>
      <c r="D16" s="13" t="s">
        <v>589</v>
      </c>
      <c r="E16" s="5">
        <v>0</v>
      </c>
      <c r="F16" s="5">
        <v>480</v>
      </c>
      <c r="G16" s="5">
        <v>0</v>
      </c>
      <c r="H16" s="5">
        <v>1439</v>
      </c>
      <c r="I16" s="5" t="s">
        <v>553</v>
      </c>
      <c r="J16" s="5">
        <v>40.58</v>
      </c>
      <c r="K16" s="5" t="s">
        <v>16</v>
      </c>
      <c r="L16" s="5" t="s">
        <v>590</v>
      </c>
      <c r="M16" s="5" t="s">
        <v>591</v>
      </c>
      <c r="N16" s="5" t="s">
        <v>583</v>
      </c>
      <c r="O16" s="5">
        <v>75</v>
      </c>
      <c r="P16" s="5">
        <v>250</v>
      </c>
      <c r="Q16" s="5">
        <v>1919</v>
      </c>
      <c r="R16" s="5" t="s">
        <v>556</v>
      </c>
      <c r="S16" s="14" t="s">
        <v>556</v>
      </c>
      <c r="T16" s="15" t="s">
        <v>484</v>
      </c>
      <c r="U16" s="16"/>
    </row>
    <row r="17" spans="1:21" ht="15.75" x14ac:dyDescent="0.25">
      <c r="A17" t="s">
        <v>616</v>
      </c>
      <c r="B17" s="4" t="s">
        <v>592</v>
      </c>
      <c r="C17" s="10">
        <v>95134</v>
      </c>
      <c r="D17" s="10" t="s">
        <v>593</v>
      </c>
      <c r="E17" s="4">
        <v>0</v>
      </c>
      <c r="F17" s="4">
        <v>292</v>
      </c>
      <c r="G17" s="4">
        <v>0</v>
      </c>
      <c r="H17" s="4">
        <v>878</v>
      </c>
      <c r="I17" s="4" t="s">
        <v>553</v>
      </c>
      <c r="J17" s="4">
        <v>15.6</v>
      </c>
      <c r="K17" s="4" t="s">
        <v>16</v>
      </c>
      <c r="L17" s="4" t="s">
        <v>59</v>
      </c>
      <c r="M17" s="4" t="s">
        <v>591</v>
      </c>
      <c r="N17" s="4" t="s">
        <v>583</v>
      </c>
      <c r="O17" s="4">
        <v>75</v>
      </c>
      <c r="P17" s="4">
        <v>250</v>
      </c>
      <c r="Q17" s="4">
        <v>1170</v>
      </c>
      <c r="R17" s="4" t="s">
        <v>561</v>
      </c>
      <c r="S17" s="11" t="s">
        <v>65</v>
      </c>
      <c r="T17" s="12" t="s">
        <v>484</v>
      </c>
      <c r="U17" s="17"/>
    </row>
    <row r="18" spans="1:21" ht="15.75" x14ac:dyDescent="0.25">
      <c r="A18" t="s">
        <v>616</v>
      </c>
      <c r="B18" s="5" t="s">
        <v>594</v>
      </c>
      <c r="C18" s="13">
        <v>95134</v>
      </c>
      <c r="D18" s="13" t="s">
        <v>595</v>
      </c>
      <c r="E18" s="5">
        <v>0</v>
      </c>
      <c r="F18" s="5">
        <v>428</v>
      </c>
      <c r="G18" s="5">
        <v>0</v>
      </c>
      <c r="H18" s="5">
        <v>1283</v>
      </c>
      <c r="I18" s="5" t="s">
        <v>553</v>
      </c>
      <c r="J18" s="5">
        <v>22.81</v>
      </c>
      <c r="K18" s="5" t="s">
        <v>16</v>
      </c>
      <c r="L18" s="5" t="s">
        <v>59</v>
      </c>
      <c r="M18" s="5" t="s">
        <v>591</v>
      </c>
      <c r="N18" s="5" t="s">
        <v>583</v>
      </c>
      <c r="O18" s="5">
        <v>75</v>
      </c>
      <c r="P18" s="5">
        <v>250</v>
      </c>
      <c r="Q18" s="5">
        <v>1711</v>
      </c>
      <c r="R18" s="5" t="s">
        <v>561</v>
      </c>
      <c r="S18" s="14" t="s">
        <v>65</v>
      </c>
      <c r="T18" s="15" t="s">
        <v>484</v>
      </c>
      <c r="U18" s="16"/>
    </row>
    <row r="19" spans="1:21" ht="15.75" x14ac:dyDescent="0.25">
      <c r="A19" t="s">
        <v>616</v>
      </c>
      <c r="B19" s="4" t="s">
        <v>596</v>
      </c>
      <c r="C19" s="10">
        <v>95134</v>
      </c>
      <c r="D19" s="10" t="s">
        <v>597</v>
      </c>
      <c r="E19" s="4">
        <v>0</v>
      </c>
      <c r="F19" s="4">
        <v>173</v>
      </c>
      <c r="G19" s="4">
        <v>0</v>
      </c>
      <c r="H19" s="4">
        <v>520</v>
      </c>
      <c r="I19" s="4" t="s">
        <v>553</v>
      </c>
      <c r="J19" s="4">
        <v>9.24</v>
      </c>
      <c r="K19" s="4" t="s">
        <v>16</v>
      </c>
      <c r="L19" s="4" t="s">
        <v>59</v>
      </c>
      <c r="M19" s="4" t="s">
        <v>591</v>
      </c>
      <c r="N19" s="4" t="s">
        <v>583</v>
      </c>
      <c r="O19" s="4">
        <v>75</v>
      </c>
      <c r="P19" s="4">
        <v>250</v>
      </c>
      <c r="Q19" s="4">
        <v>693</v>
      </c>
      <c r="R19" s="4" t="s">
        <v>561</v>
      </c>
      <c r="S19" s="11" t="s">
        <v>60</v>
      </c>
      <c r="T19" s="12" t="s">
        <v>484</v>
      </c>
      <c r="U19" s="17"/>
    </row>
    <row r="20" spans="1:21" ht="15.75" x14ac:dyDescent="0.25">
      <c r="A20" t="s">
        <v>616</v>
      </c>
      <c r="B20" s="5" t="s">
        <v>598</v>
      </c>
      <c r="C20" s="13">
        <v>95134</v>
      </c>
      <c r="D20" s="13" t="s">
        <v>599</v>
      </c>
      <c r="E20" s="5">
        <v>0</v>
      </c>
      <c r="F20" s="5">
        <v>77</v>
      </c>
      <c r="G20" s="5">
        <v>0</v>
      </c>
      <c r="H20" s="5">
        <v>230</v>
      </c>
      <c r="I20" s="5" t="s">
        <v>553</v>
      </c>
      <c r="J20" s="5">
        <v>4.0999999999999996</v>
      </c>
      <c r="K20" s="5" t="s">
        <v>16</v>
      </c>
      <c r="L20" s="5" t="s">
        <v>600</v>
      </c>
      <c r="M20" s="5" t="s">
        <v>591</v>
      </c>
      <c r="N20" s="5" t="s">
        <v>583</v>
      </c>
      <c r="O20" s="5">
        <v>75</v>
      </c>
      <c r="P20" s="5">
        <v>250</v>
      </c>
      <c r="Q20" s="5">
        <v>307</v>
      </c>
      <c r="R20" s="5" t="s">
        <v>561</v>
      </c>
      <c r="S20" s="14" t="s">
        <v>60</v>
      </c>
      <c r="T20" s="15" t="s">
        <v>484</v>
      </c>
      <c r="U20" s="16"/>
    </row>
    <row r="21" spans="1:21" ht="15.75" x14ac:dyDescent="0.25">
      <c r="A21" t="s">
        <v>616</v>
      </c>
      <c r="B21" s="4" t="s">
        <v>601</v>
      </c>
      <c r="C21" s="10">
        <v>95134</v>
      </c>
      <c r="D21" s="10" t="s">
        <v>602</v>
      </c>
      <c r="E21" s="4">
        <v>0</v>
      </c>
      <c r="F21" s="4">
        <v>102</v>
      </c>
      <c r="G21" s="4">
        <v>0</v>
      </c>
      <c r="H21" s="4">
        <v>304</v>
      </c>
      <c r="I21" s="4" t="s">
        <v>553</v>
      </c>
      <c r="J21" s="4">
        <v>5.41</v>
      </c>
      <c r="K21" s="4" t="s">
        <v>16</v>
      </c>
      <c r="L21" s="4" t="s">
        <v>59</v>
      </c>
      <c r="M21" s="4" t="s">
        <v>591</v>
      </c>
      <c r="N21" s="4" t="s">
        <v>583</v>
      </c>
      <c r="O21" s="4">
        <v>75</v>
      </c>
      <c r="P21" s="4">
        <v>250</v>
      </c>
      <c r="Q21" s="4">
        <v>406</v>
      </c>
      <c r="R21" s="4" t="s">
        <v>561</v>
      </c>
      <c r="S21" s="11" t="s">
        <v>65</v>
      </c>
      <c r="T21" s="12" t="s">
        <v>484</v>
      </c>
      <c r="U21" s="17"/>
    </row>
    <row r="22" spans="1:21" ht="15.75" x14ac:dyDescent="0.25">
      <c r="A22" t="s">
        <v>616</v>
      </c>
      <c r="B22" s="5" t="s">
        <v>603</v>
      </c>
      <c r="C22" s="13">
        <v>95134</v>
      </c>
      <c r="D22" s="13" t="s">
        <v>604</v>
      </c>
      <c r="E22" s="5">
        <v>0</v>
      </c>
      <c r="F22" s="5">
        <v>160</v>
      </c>
      <c r="G22" s="5">
        <v>0</v>
      </c>
      <c r="H22" s="5">
        <v>481</v>
      </c>
      <c r="I22" s="5" t="s">
        <v>553</v>
      </c>
      <c r="J22" s="5">
        <v>6.46</v>
      </c>
      <c r="K22" s="5" t="s">
        <v>16</v>
      </c>
      <c r="L22" s="5" t="s">
        <v>59</v>
      </c>
      <c r="M22" s="5" t="s">
        <v>591</v>
      </c>
      <c r="N22" s="5" t="s">
        <v>583</v>
      </c>
      <c r="O22" s="5">
        <v>75</v>
      </c>
      <c r="P22" s="5">
        <v>250</v>
      </c>
      <c r="Q22" s="5">
        <v>641</v>
      </c>
      <c r="R22" s="5" t="s">
        <v>561</v>
      </c>
      <c r="S22" s="14" t="s">
        <v>14</v>
      </c>
      <c r="T22" s="15" t="s">
        <v>484</v>
      </c>
      <c r="U22" s="16"/>
    </row>
    <row r="23" spans="1:21" ht="15.75" x14ac:dyDescent="0.25">
      <c r="A23" t="s">
        <v>616</v>
      </c>
      <c r="B23" s="4" t="s">
        <v>605</v>
      </c>
      <c r="C23" s="10">
        <v>95134</v>
      </c>
      <c r="D23" s="10" t="s">
        <v>606</v>
      </c>
      <c r="E23" s="4">
        <v>0</v>
      </c>
      <c r="F23" s="4">
        <v>119</v>
      </c>
      <c r="G23" s="4">
        <v>0</v>
      </c>
      <c r="H23" s="4">
        <v>355</v>
      </c>
      <c r="I23" s="4" t="s">
        <v>553</v>
      </c>
      <c r="J23" s="4">
        <v>6.32</v>
      </c>
      <c r="K23" s="4" t="s">
        <v>16</v>
      </c>
      <c r="L23" s="4" t="s">
        <v>59</v>
      </c>
      <c r="M23" s="4" t="s">
        <v>591</v>
      </c>
      <c r="N23" s="4" t="s">
        <v>583</v>
      </c>
      <c r="O23" s="4">
        <v>75</v>
      </c>
      <c r="P23" s="4">
        <v>250</v>
      </c>
      <c r="Q23" s="4">
        <v>474</v>
      </c>
      <c r="R23" s="4" t="s">
        <v>561</v>
      </c>
      <c r="S23" s="11" t="s">
        <v>65</v>
      </c>
      <c r="T23" s="12" t="s">
        <v>484</v>
      </c>
      <c r="U23" s="17"/>
    </row>
    <row r="24" spans="1:21" ht="15.75" x14ac:dyDescent="0.25">
      <c r="A24" t="s">
        <v>616</v>
      </c>
      <c r="B24" s="5" t="s">
        <v>607</v>
      </c>
      <c r="C24" s="13">
        <v>95134</v>
      </c>
      <c r="D24" s="13" t="s">
        <v>608</v>
      </c>
      <c r="E24" s="5">
        <v>0</v>
      </c>
      <c r="F24" s="5">
        <v>83</v>
      </c>
      <c r="G24" s="5">
        <v>0</v>
      </c>
      <c r="H24" s="5">
        <v>249</v>
      </c>
      <c r="I24" s="5" t="s">
        <v>553</v>
      </c>
      <c r="J24" s="5">
        <v>4.43</v>
      </c>
      <c r="K24" s="5" t="s">
        <v>16</v>
      </c>
      <c r="L24" s="5" t="s">
        <v>59</v>
      </c>
      <c r="M24" s="5" t="s">
        <v>591</v>
      </c>
      <c r="N24" s="5" t="s">
        <v>583</v>
      </c>
      <c r="O24" s="5">
        <v>75</v>
      </c>
      <c r="P24" s="5">
        <v>250</v>
      </c>
      <c r="Q24" s="5">
        <v>332</v>
      </c>
      <c r="R24" s="5" t="s">
        <v>561</v>
      </c>
      <c r="S24" s="14" t="s">
        <v>60</v>
      </c>
      <c r="T24" s="15" t="s">
        <v>484</v>
      </c>
      <c r="U24" s="16"/>
    </row>
    <row r="25" spans="1:21" ht="15.75" x14ac:dyDescent="0.25">
      <c r="A25" t="s">
        <v>616</v>
      </c>
      <c r="B25" s="4" t="s">
        <v>609</v>
      </c>
      <c r="C25" s="10">
        <v>95134</v>
      </c>
      <c r="D25" s="10" t="s">
        <v>610</v>
      </c>
      <c r="E25" s="4">
        <v>0</v>
      </c>
      <c r="F25" s="4">
        <v>72</v>
      </c>
      <c r="G25" s="4">
        <v>0</v>
      </c>
      <c r="H25" s="4">
        <v>216</v>
      </c>
      <c r="I25" s="4" t="s">
        <v>553</v>
      </c>
      <c r="J25" s="4">
        <v>3.53</v>
      </c>
      <c r="K25" s="4" t="s">
        <v>16</v>
      </c>
      <c r="L25" s="4" t="s">
        <v>59</v>
      </c>
      <c r="M25" s="4" t="s">
        <v>591</v>
      </c>
      <c r="N25" s="4" t="s">
        <v>583</v>
      </c>
      <c r="O25" s="4">
        <v>75</v>
      </c>
      <c r="P25" s="4">
        <v>250</v>
      </c>
      <c r="Q25" s="4">
        <v>288</v>
      </c>
      <c r="R25" s="4" t="s">
        <v>561</v>
      </c>
      <c r="S25" s="11" t="s">
        <v>60</v>
      </c>
      <c r="T25" s="12" t="s">
        <v>484</v>
      </c>
      <c r="U25" s="17"/>
    </row>
    <row r="26" spans="1:21" ht="15.75" x14ac:dyDescent="0.25">
      <c r="A26" t="s">
        <v>616</v>
      </c>
      <c r="B26" s="5" t="s">
        <v>611</v>
      </c>
      <c r="C26" s="13">
        <v>95110</v>
      </c>
      <c r="D26" s="13" t="s">
        <v>612</v>
      </c>
      <c r="E26" s="5">
        <v>0</v>
      </c>
      <c r="F26" s="5">
        <v>0</v>
      </c>
      <c r="G26" s="5">
        <v>0</v>
      </c>
      <c r="H26" s="5">
        <v>371</v>
      </c>
      <c r="I26" s="5" t="s">
        <v>553</v>
      </c>
      <c r="J26" s="5">
        <v>4.9400000000000004</v>
      </c>
      <c r="K26" s="5" t="s">
        <v>59</v>
      </c>
      <c r="L26" s="5" t="s">
        <v>600</v>
      </c>
      <c r="M26" s="5" t="s">
        <v>613</v>
      </c>
      <c r="N26" s="5" t="s">
        <v>558</v>
      </c>
      <c r="O26" s="5">
        <v>75</v>
      </c>
      <c r="P26" s="5">
        <v>250</v>
      </c>
      <c r="Q26" s="5">
        <v>371</v>
      </c>
      <c r="R26" s="5" t="s">
        <v>556</v>
      </c>
      <c r="S26" s="14" t="s">
        <v>556</v>
      </c>
      <c r="T26" s="15" t="s">
        <v>484</v>
      </c>
      <c r="U26" s="16"/>
    </row>
  </sheetData>
  <conditionalFormatting sqref="B3:B26">
    <cfRule type="expression" dxfId="21" priority="19">
      <formula>AND(ISBLANK(B3),SUM(COUNTIF(B3:T3,"&lt;&gt;"&amp;"")&gt;0))</formula>
    </cfRule>
  </conditionalFormatting>
  <conditionalFormatting sqref="C3:C26">
    <cfRule type="expression" dxfId="20" priority="18">
      <formula>AND(ISBLANK(C3),SUM(COUNTIF(B3:T3,"&lt;&gt;"&amp;"")&gt;0))</formula>
    </cfRule>
  </conditionalFormatting>
  <conditionalFormatting sqref="D3:D26">
    <cfRule type="expression" dxfId="19" priority="17">
      <formula>AND(ISBLANK(D3),SUM(COUNTIF(B3:T3,"&lt;&gt;"&amp;"")&gt;0))</formula>
    </cfRule>
  </conditionalFormatting>
  <conditionalFormatting sqref="E3:E26">
    <cfRule type="expression" dxfId="18" priority="16">
      <formula>AND(ISBLANK(E3),SUM(COUNTIF(B3:T3,"&lt;&gt;"&amp;"")&gt;0))</formula>
    </cfRule>
  </conditionalFormatting>
  <conditionalFormatting sqref="F3:F26">
    <cfRule type="expression" dxfId="17" priority="15">
      <formula>AND(ISBLANK(F3),SUM(COUNTIF(B3:T3,"&lt;&gt;"&amp;"")&gt;0))</formula>
    </cfRule>
  </conditionalFormatting>
  <conditionalFormatting sqref="G3:G26">
    <cfRule type="expression" dxfId="16" priority="14">
      <formula>AND(ISBLANK(G3),SUM(COUNTIF(B3:T3,"&lt;&gt;"&amp;"")&gt;0))</formula>
    </cfRule>
  </conditionalFormatting>
  <conditionalFormatting sqref="H3:H26">
    <cfRule type="expression" dxfId="15" priority="13">
      <formula>AND(ISBLANK(H3),SUM(COUNTIF(B3:T3,"&lt;&gt;"&amp;"")&gt;0))</formula>
    </cfRule>
  </conditionalFormatting>
  <conditionalFormatting sqref="I3:I26">
    <cfRule type="expression" dxfId="14" priority="12">
      <formula>AND(ISBLANK(I3),SUM(COUNTIF(B3:T3,"&lt;&gt;"&amp;"")&gt;0))</formula>
    </cfRule>
  </conditionalFormatting>
  <conditionalFormatting sqref="J3:J26">
    <cfRule type="expression" dxfId="13" priority="11">
      <formula>AND(ISBLANK(J3),SUM(COUNTIF(B3:T3,"&lt;&gt;"&amp;"")&gt;0))</formula>
    </cfRule>
  </conditionalFormatting>
  <conditionalFormatting sqref="K3:K26">
    <cfRule type="expression" dxfId="12" priority="10">
      <formula>AND(ISBLANK(K3),SUM(COUNTIF(B3:T3,"&lt;&gt;"&amp;"")&gt;0))</formula>
    </cfRule>
  </conditionalFormatting>
  <conditionalFormatting sqref="L3:L26">
    <cfRule type="expression" dxfId="11" priority="9">
      <formula>AND(ISBLANK(L3),SUM(COUNTIF(B3:T3,"&lt;&gt;"&amp;"")&gt;0))</formula>
    </cfRule>
  </conditionalFormatting>
  <conditionalFormatting sqref="M3:M26">
    <cfRule type="expression" dxfId="10" priority="8">
      <formula>AND(ISBLANK(M3),SUM(COUNTIF(B3:T3,"&lt;&gt;"&amp;"")&gt;0))</formula>
    </cfRule>
  </conditionalFormatting>
  <conditionalFormatting sqref="N3:N26">
    <cfRule type="expression" dxfId="9" priority="7">
      <formula>AND(ISBLANK(N3),SUM(COUNTIF(B3:T3,"&lt;&gt;"&amp;"")&gt;0))</formula>
    </cfRule>
  </conditionalFormatting>
  <conditionalFormatting sqref="O3:O26">
    <cfRule type="expression" dxfId="8" priority="6">
      <formula>AND(ISBLANK(O3),SUM(COUNTIF(B3:T3,"&lt;&gt;"&amp;"")&gt;0))</formula>
    </cfRule>
  </conditionalFormatting>
  <conditionalFormatting sqref="P3:P26">
    <cfRule type="expression" dxfId="7" priority="5">
      <formula>AND(ISBLANK(P3),SUM(COUNTIF(B3:T3,"&lt;&gt;"&amp;"")&gt;0))</formula>
    </cfRule>
  </conditionalFormatting>
  <conditionalFormatting sqref="Q3:Q26">
    <cfRule type="expression" dxfId="6" priority="4">
      <formula>AND(ISBLANK(Q3),SUM(COUNTIF(B3:T3,"&lt;&gt;"&amp;"")&gt;0))</formula>
    </cfRule>
  </conditionalFormatting>
  <conditionalFormatting sqref="R3:R26">
    <cfRule type="expression" dxfId="5" priority="3">
      <formula>AND(ISBLANK(R3),SUM(COUNTIF(B3:T3,"&lt;&gt;"&amp;"")&gt;0))</formula>
    </cfRule>
  </conditionalFormatting>
  <conditionalFormatting sqref="S3:S26">
    <cfRule type="expression" dxfId="4" priority="2">
      <formula>AND(ISBLANK(S3),SUM(COUNTIF(B3:T3,"&lt;&gt;"&amp;"")&gt;0))</formula>
    </cfRule>
  </conditionalFormatting>
  <conditionalFormatting sqref="T3:T26">
    <cfRule type="expression" dxfId="3" priority="1">
      <formula>AND(ISBLANK(T3),SUM(COUNTIF(B3:T3,"&lt;&gt;"&amp;"")&gt;0))</formula>
    </cfRule>
  </conditionalFormatting>
  <dataValidations count="14">
    <dataValidation type="textLength" operator="equal" allowBlank="1" showDropDown="1" showInputMessage="1" showErrorMessage="1" error="Please do not rename column; include identifying information about the data directly in the cell (e.g., &quot;Year built: 1978&quot;)" sqref="U2" xr:uid="{215ADA57-E929-404B-872B-1D6B1A222E4E}">
      <formula1>21</formula1>
    </dataValidation>
    <dataValidation allowBlank="1" showInputMessage="1" showErrorMessage="1" promptTitle="Optional Information1" prompt="Please enter any information you wish to convey about this parcel not covered by other fields in the form. See the instructions for examples of the information that can be reflected here." sqref="U3:U26" xr:uid="{05A8C543-0206-4CD9-AB8F-153B00B270EC}"/>
    <dataValidation allowBlank="1" showInputMessage="1" showErrorMessage="1" error="Please enter the current General Plan designation" promptTitle="Current General Plan Designation" prompt="Enter the current General Plan Land Use designation before any proposed changes are made (Required)" sqref="K3:K26" xr:uid="{8B1721CE-D11B-4812-82D8-674CC017B6CA}"/>
    <dataValidation allowBlank="1" showInputMessage="1" showErrorMessage="1" promptTitle="Site Address/Intersection" prompt="Enter the number and name of street, if available. This information is necessary to locate some sites (Required)_x000a__x000a_Enter an intersection, if, and only if, a site address is not available." sqref="B3:B26" xr:uid="{66002ABB-3978-4B1B-8565-6318214DC8C4}"/>
    <dataValidation type="whole" operator="greaterThanOrEqual" allowBlank="1" showInputMessage="1" showErrorMessage="1" errorTitle="Invalid format" error="Please enter the estimated total unit capacity. Numerical entries only." promptTitle="Total Capacity" prompt="Enter the estimated realistic unit capacity for each parcel (Required)" sqref="Q3:Q26" xr:uid="{26DE4336-7E9B-4EB1-A0ED-C360BD34AE45}">
      <formula1>0</formula1>
    </dataValidation>
    <dataValidation type="decimal" allowBlank="1" showInputMessage="1" showErrorMessage="1" errorTitle="Invalid format" error="Please enter the maximum density. If none, enter &quot;0&quot;. Numeric entries only." promptTitle="Maximum Density Allowed" prompt="Enter the maximum density allowed on each parcel. This is the density allowed after any zoning amendments are made (Required)_x000a__x000a_If there is no maximum density, enter &quot;0&quot;." sqref="P3:P26" xr:uid="{E5B7A77A-478E-4191-9D05-9DE8ED17128C}">
      <formula1>0.00001</formula1>
      <formula2>9999999</formula2>
    </dataValidation>
    <dataValidation type="decimal" allowBlank="1" showInputMessage="1" showErrorMessage="1" errorTitle="Invalid format" error="Please enter the minimum density. If none, enter &quot;0&quot;. Numeric entries only." promptTitle="Minimum Density Allowed " prompt="Enter the minimum density allowed on each parcel. This is the density allowed after any zoning amendments are made (Required)_x000a__x000a_If there will be no minimum density, enter &quot;0&quot; " sqref="O3:O26" xr:uid="{DE3CFE9B-27AA-4DB2-B610-E0A63FFCDA3D}">
      <formula1>0</formula1>
      <formula2>9999999</formula2>
    </dataValidation>
    <dataValidation allowBlank="1" showInputMessage="1" showErrorMessage="1" error="Please enter the proposed General Plan designation. If no changes will be made, enter the current designation." promptTitle="Proposed GP Designation" prompt="Enter the General Plan Land Use designation associated with the proposed zoning. If no change will be made, enter the current designation (Required)" sqref="M3:M26" xr:uid="{FC99378E-9AAC-44F9-B599-3D63F0408226}"/>
    <dataValidation type="decimal" allowBlank="1" showInputMessage="1" showErrorMessage="1" errorTitle="Invalid format" error="Please enter the parcel size in acres. Numerical entries only." promptTitle="Parcel Size (acres)" prompt="Enter the size of the parcel in acres (Requred)" sqref="J3:J26" xr:uid="{069566CC-0CDD-44A0-A0D2-6D9E7EBD95FC}">
      <formula1>0.00001</formula1>
      <formula2>9999999</formula2>
    </dataValidation>
    <dataValidation type="decimal" allowBlank="1" showInputMessage="1" showErrorMessage="1" errorTitle="Invalid format" error="Please enter the above-moderate income unit count. If none, enter &quot;0&quot;" promptTitle="Above Moderate-Income Units" prompt="For each site, list the number of units that are affordable to above-moderate income households (Required)_x000a__x000a_If none, enter &quot;0&quot;" sqref="H3:H26" xr:uid="{51814CDF-7844-4172-88D8-B3AFF7A5C4D8}">
      <formula1>0</formula1>
      <formula2>9999999</formula2>
    </dataValidation>
    <dataValidation type="decimal" allowBlank="1" showInputMessage="1" showErrorMessage="1" errorTitle="Invalid format" error="Please enter the moderate-income unit count. If none, enter &quot;0&quot;" promptTitle="Moderate-Income Units" prompt="For each site, list the number of units that are affordable to moderate-income households (Required)_x000a__x000a_If none, enter &quot;0&quot;" sqref="G3:G26" xr:uid="{C26F1362-C46C-4C26-B9B8-5146EA0CD784}">
      <formula1>0</formula1>
      <formula2>9999999</formula2>
    </dataValidation>
    <dataValidation type="decimal" allowBlank="1" showInputMessage="1" showErrorMessage="1" errorTitle="Invalid format" error="Please enter the low-income unit count. If none, enter &quot;0&quot;" promptTitle="Low-Income Units" prompt="For each site, list the number of units that are affordable to low-income households (Required)_x000a__x000a_If none, enter &quot;0&quot;" sqref="F3:F26" xr:uid="{73D5D717-3C0E-49C7-8D10-BADBC3EF40ED}">
      <formula1>0</formula1>
      <formula2>9999999</formula2>
    </dataValidation>
    <dataValidation type="decimal" allowBlank="1" showInputMessage="1" showErrorMessage="1" errorTitle="Invalid format" error="Please enter the very low-income unit count. If none, enter &quot;0&quot;" promptTitle="Very Low-Income Units" prompt="For each site, list the number of units that are affordable to very low-income households (Required)_x000a__x000a_If none, enter &quot;0&quot;" sqref="E3:E26" xr:uid="{A96F65A6-9212-4A36-B9D1-C13DA26184C5}">
      <formula1>0</formula1>
      <formula2>9999999</formula2>
    </dataValidation>
    <dataValidation type="whole" allowBlank="1" showInputMessage="1" showErrorMessage="1" errorTitle="Invalid format" error="Please enter the five-digit zip code" promptTitle="5 Digit ZIP Code" prompt="Enter the ZIP code. This information is necessary to locate some sites (Required)" sqref="C3:C26" xr:uid="{CD6F6A14-7DA3-44ED-81E9-DABA4611B369}">
      <formula1>10000</formula1>
      <formula2>99999</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F2BA1-1122-4EDE-8990-17B2FD0192B4}">
  <dimension ref="A2:B25"/>
  <sheetViews>
    <sheetView tabSelected="1" workbookViewId="0">
      <selection activeCell="B32" sqref="B32"/>
    </sheetView>
  </sheetViews>
  <sheetFormatPr defaultRowHeight="15" x14ac:dyDescent="0.25"/>
  <cols>
    <col min="1" max="1" width="45.42578125" customWidth="1"/>
    <col min="2" max="2" width="254" bestFit="1" customWidth="1"/>
  </cols>
  <sheetData>
    <row r="2" spans="1:2" ht="174.75" x14ac:dyDescent="0.25">
      <c r="A2" s="6" t="s">
        <v>532</v>
      </c>
      <c r="B2" s="6" t="s">
        <v>533</v>
      </c>
    </row>
    <row r="3" spans="1:2" ht="15.75" x14ac:dyDescent="0.25">
      <c r="A3" s="4" t="s">
        <v>490</v>
      </c>
      <c r="B3" s="4" t="s">
        <v>491</v>
      </c>
    </row>
    <row r="4" spans="1:2" ht="15.75" x14ac:dyDescent="0.25">
      <c r="A4" s="5" t="s">
        <v>492</v>
      </c>
      <c r="B4" s="5" t="s">
        <v>493</v>
      </c>
    </row>
    <row r="5" spans="1:2" ht="15.75" x14ac:dyDescent="0.25">
      <c r="A5" s="4" t="s">
        <v>494</v>
      </c>
      <c r="B5" s="4" t="s">
        <v>493</v>
      </c>
    </row>
    <row r="6" spans="1:2" ht="15.75" x14ac:dyDescent="0.25">
      <c r="A6" s="5" t="s">
        <v>495</v>
      </c>
      <c r="B6" s="5" t="s">
        <v>493</v>
      </c>
    </row>
    <row r="7" spans="1:2" ht="15.75" x14ac:dyDescent="0.25">
      <c r="A7" s="4" t="s">
        <v>496</v>
      </c>
      <c r="B7" s="4" t="s">
        <v>497</v>
      </c>
    </row>
    <row r="8" spans="1:2" ht="15.75" x14ac:dyDescent="0.25">
      <c r="A8" s="5" t="s">
        <v>498</v>
      </c>
      <c r="B8" s="5" t="s">
        <v>499</v>
      </c>
    </row>
    <row r="9" spans="1:2" ht="15.75" x14ac:dyDescent="0.25">
      <c r="A9" s="4" t="s">
        <v>500</v>
      </c>
      <c r="B9" s="4" t="s">
        <v>499</v>
      </c>
    </row>
    <row r="10" spans="1:2" ht="15.75" x14ac:dyDescent="0.25">
      <c r="A10" s="5" t="s">
        <v>501</v>
      </c>
      <c r="B10" s="5" t="s">
        <v>502</v>
      </c>
    </row>
    <row r="11" spans="1:2" ht="15.75" x14ac:dyDescent="0.25">
      <c r="A11" s="4" t="s">
        <v>503</v>
      </c>
      <c r="B11" s="4" t="s">
        <v>504</v>
      </c>
    </row>
    <row r="12" spans="1:2" ht="15.75" x14ac:dyDescent="0.25">
      <c r="A12" s="5" t="s">
        <v>505</v>
      </c>
      <c r="B12" s="5" t="s">
        <v>506</v>
      </c>
    </row>
    <row r="13" spans="1:2" ht="15.75" x14ac:dyDescent="0.25">
      <c r="A13" s="4" t="s">
        <v>507</v>
      </c>
      <c r="B13" s="4" t="s">
        <v>508</v>
      </c>
    </row>
    <row r="14" spans="1:2" ht="15.75" x14ac:dyDescent="0.25">
      <c r="A14" s="5" t="s">
        <v>509</v>
      </c>
      <c r="B14" s="5" t="s">
        <v>510</v>
      </c>
    </row>
    <row r="15" spans="1:2" ht="15.75" x14ac:dyDescent="0.25">
      <c r="A15" s="4" t="s">
        <v>511</v>
      </c>
      <c r="B15" s="4" t="s">
        <v>512</v>
      </c>
    </row>
    <row r="16" spans="1:2" ht="15.75" x14ac:dyDescent="0.25">
      <c r="A16" s="5" t="s">
        <v>513</v>
      </c>
      <c r="B16" s="5" t="s">
        <v>514</v>
      </c>
    </row>
    <row r="17" spans="1:2" ht="15.75" x14ac:dyDescent="0.25">
      <c r="A17" s="4" t="s">
        <v>515</v>
      </c>
      <c r="B17" s="4" t="s">
        <v>516</v>
      </c>
    </row>
    <row r="18" spans="1:2" ht="15.75" x14ac:dyDescent="0.25">
      <c r="A18" s="5" t="s">
        <v>517</v>
      </c>
      <c r="B18" s="5" t="s">
        <v>518</v>
      </c>
    </row>
    <row r="19" spans="1:2" ht="15.75" x14ac:dyDescent="0.25">
      <c r="A19" s="4" t="s">
        <v>519</v>
      </c>
      <c r="B19" s="4" t="s">
        <v>520</v>
      </c>
    </row>
    <row r="20" spans="1:2" ht="15.75" x14ac:dyDescent="0.25">
      <c r="A20" s="5" t="s">
        <v>521</v>
      </c>
      <c r="B20" s="5" t="s">
        <v>522</v>
      </c>
    </row>
    <row r="21" spans="1:2" ht="15.75" x14ac:dyDescent="0.25">
      <c r="A21" s="4" t="s">
        <v>523</v>
      </c>
      <c r="B21" s="4" t="s">
        <v>524</v>
      </c>
    </row>
    <row r="22" spans="1:2" ht="15.75" x14ac:dyDescent="0.25">
      <c r="A22" s="5" t="s">
        <v>525</v>
      </c>
      <c r="B22" s="5" t="s">
        <v>526</v>
      </c>
    </row>
    <row r="23" spans="1:2" ht="15.75" x14ac:dyDescent="0.25">
      <c r="A23" s="4" t="s">
        <v>527</v>
      </c>
      <c r="B23" s="4" t="s">
        <v>528</v>
      </c>
    </row>
    <row r="24" spans="1:2" ht="15.75" x14ac:dyDescent="0.25">
      <c r="A24" s="5" t="s">
        <v>529</v>
      </c>
      <c r="B24" s="5" t="s">
        <v>530</v>
      </c>
    </row>
    <row r="25" spans="1:2" ht="15.75" x14ac:dyDescent="0.25">
      <c r="A25" s="4" t="s">
        <v>197</v>
      </c>
      <c r="B25" s="4" t="s">
        <v>531</v>
      </c>
    </row>
  </sheetData>
  <conditionalFormatting sqref="A25">
    <cfRule type="expression" dxfId="2" priority="3">
      <formula>AND(ISBLANK(A25),SUM(COUNTIF(A25:B25,"&lt;&gt;"&amp;"")&gt;0))</formula>
    </cfRule>
  </conditionalFormatting>
  <conditionalFormatting sqref="B3:B25">
    <cfRule type="expression" dxfId="1" priority="2">
      <formula>AND(ISBLANK(B3),SUM(COUNTIF(A3:B3,"&lt;&gt;"&amp;"")&gt;0))</formula>
    </cfRule>
  </conditionalFormatting>
  <conditionalFormatting sqref="A3:A24">
    <cfRule type="expression" dxfId="0" priority="1">
      <formula>AND(ISBLANK(A3),SUM(COUNTIF(A3:B3,"&lt;&gt;"&amp;"")&gt;0))</formula>
    </cfRule>
  </conditionalFormatting>
  <dataValidations count="2">
    <dataValidation operator="greaterThan" allowBlank="1" showInputMessage="1" error="This is not a form field. Please press Tab to continue." promptTitle="Land Uses Allowed" prompt="For each zoning designation listed Column A, enter the corresponding Land Uses Allowed in Column B, and a reference or link to the applicable section of the local code." sqref="B3:B25" xr:uid="{09466733-3CE1-4337-B5F4-31E696C2B104}"/>
    <dataValidation operator="greaterThan" allowBlank="1" showInputMessage="1" error="This is not a form field. Please press Tab to continue." promptTitle="Zoning Designation" prompt="Enter the zoning designations for sites reported on Tables A and B. Each zoning designation should be entered on a separate row." sqref="A3:A25" xr:uid="{FE19CE3F-F6D9-46DF-8A2C-2F0CF9AEE84F}"/>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b191620-0153-4acc-a89a-219ae713f494" xsi:nil="true"/>
    <lcf76f155ced4ddcb4097134ff3c332f xmlns="00362605-1254-402e-919f-052ac8d959b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B342A16072B6478A5BEF3BEC52C305" ma:contentTypeVersion="14" ma:contentTypeDescription="Create a new document." ma:contentTypeScope="" ma:versionID="0bff67e006e76dd07d92e1d1974e2605">
  <xsd:schema xmlns:xsd="http://www.w3.org/2001/XMLSchema" xmlns:xs="http://www.w3.org/2001/XMLSchema" xmlns:p="http://schemas.microsoft.com/office/2006/metadata/properties" xmlns:ns2="00362605-1254-402e-919f-052ac8d959b4" xmlns:ns3="9250bbdb-ec10-4a9f-a122-b8f3bda176da" xmlns:ns4="8b191620-0153-4acc-a89a-219ae713f494" targetNamespace="http://schemas.microsoft.com/office/2006/metadata/properties" ma:root="true" ma:fieldsID="3fb4e5fecac95adce1f85cfb445c16a3" ns2:_="" ns3:_="" ns4:_="">
    <xsd:import namespace="00362605-1254-402e-919f-052ac8d959b4"/>
    <xsd:import namespace="9250bbdb-ec10-4a9f-a122-b8f3bda176da"/>
    <xsd:import namespace="8b191620-0153-4acc-a89a-219ae713f4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362605-1254-402e-919f-052ac8d959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ce5f2ac-bb83-4a84-bbbc-4691dad9ed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250bbdb-ec10-4a9f-a122-b8f3bda176d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191620-0153-4acc-a89a-219ae713f49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a1b4dc4-2c7b-406f-b04e-4172f2394d79}" ma:internalName="TaxCatchAll" ma:showField="CatchAllData" ma:web="9250bbdb-ec10-4a9f-a122-b8f3bda176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62022B-AADE-48B4-ACE5-9B2A929A8BE9}">
  <ds:schemaRefs>
    <ds:schemaRef ds:uri="http://schemas.microsoft.com/sharepoint/v3/contenttype/forms"/>
  </ds:schemaRefs>
</ds:datastoreItem>
</file>

<file path=customXml/itemProps2.xml><?xml version="1.0" encoding="utf-8"?>
<ds:datastoreItem xmlns:ds="http://schemas.openxmlformats.org/officeDocument/2006/customXml" ds:itemID="{FB510EBD-341B-4A14-9EDD-58A3C47B131F}">
  <ds:schemaRefs>
    <ds:schemaRef ds:uri="00362605-1254-402e-919f-052ac8d959b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b191620-0153-4acc-a89a-219ae713f494"/>
    <ds:schemaRef ds:uri="http://purl.org/dc/elements/1.1/"/>
    <ds:schemaRef ds:uri="http://schemas.microsoft.com/office/2006/metadata/properties"/>
    <ds:schemaRef ds:uri="9250bbdb-ec10-4a9f-a122-b8f3bda176da"/>
    <ds:schemaRef ds:uri="http://www.w3.org/XML/1998/namespace"/>
    <ds:schemaRef ds:uri="http://purl.org/dc/dcmitype/"/>
  </ds:schemaRefs>
</ds:datastoreItem>
</file>

<file path=customXml/itemProps3.xml><?xml version="1.0" encoding="utf-8"?>
<ds:datastoreItem xmlns:ds="http://schemas.openxmlformats.org/officeDocument/2006/customXml" ds:itemID="{52D66AF3-6308-4C4B-8D62-6E09BC9139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362605-1254-402e-919f-052ac8d959b4"/>
    <ds:schemaRef ds:uri="9250bbdb-ec10-4a9f-a122-b8f3bda176da"/>
    <ds:schemaRef ds:uri="8b191620-0153-4acc-a89a-219ae713f4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A</vt:lpstr>
      <vt:lpstr>Table B</vt:lpstr>
      <vt:lpstr>Table 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Cueto, Ruth</cp:lastModifiedBy>
  <dcterms:created xsi:type="dcterms:W3CDTF">2023-05-17T16:51:37Z</dcterms:created>
  <dcterms:modified xsi:type="dcterms:W3CDTF">2023-05-18T00:08:01Z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0x01010090B342A16072B6478A5BEF3BEC52C305</vt:lpwstr>
  </property>
  <property fmtid="{D5CDD505-2E9C-101B-9397-08002B2CF9AE}" pid="3" name="MediaServiceImageTags">
    <vt:lpwstr/>
  </property>
</Properties>
</file>